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DE_TM\Mapas\Finais\"/>
    </mc:Choice>
  </mc:AlternateContent>
  <xr:revisionPtr revIDLastSave="0" documentId="13_ncr:1_{41F85E24-EB2D-4202-A8B6-B7ABB151DC2D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SORTEIO" sheetId="4" r:id="rId1"/>
    <sheet name="Fase Grupos" sheetId="2" r:id="rId2"/>
    <sheet name="Mapa 8" sheetId="10" r:id="rId3"/>
    <sheet name="CLASSIFICAÇÃO" sheetId="5" r:id="rId4"/>
    <sheet name="BoletinsGrupos" sheetId="6" r:id="rId5"/>
    <sheet name="BoletinsM1" sheetId="7" r:id="rId6"/>
    <sheet name="BoletinsM2" sheetId="8" r:id="rId7"/>
    <sheet name="BoletinsM3" sheetId="9" r:id="rId8"/>
    <sheet name="BoletinsM4" sheetId="11" r:id="rId9"/>
    <sheet name="BoletinsM5" sheetId="14" r:id="rId10"/>
    <sheet name="B. Final" sheetId="12" r:id="rId11"/>
    <sheet name="B. Finalissima" sheetId="13" r:id="rId12"/>
    <sheet name="Folha3" sheetId="3" state="hidden" r:id="rId13"/>
  </sheets>
  <definedNames>
    <definedName name="_xlnm.Print_Area" localSheetId="1">'Fase Grupos'!$AM$1:$AV$81</definedName>
    <definedName name="_xlnm.Print_Area" localSheetId="2">'Mapa 8'!$A$1:$S$28</definedName>
    <definedName name="escalao" localSheetId="10">#REF!</definedName>
    <definedName name="escalao" localSheetId="11">#REF!</definedName>
    <definedName name="escalao" localSheetId="5">#REF!</definedName>
    <definedName name="escalao" localSheetId="6">#REF!</definedName>
    <definedName name="escalao" localSheetId="7">#REF!</definedName>
    <definedName name="escalao" localSheetId="8">#REF!</definedName>
    <definedName name="escalao" localSheetId="9">#REF!</definedName>
    <definedName name="escalao">#REF!</definedName>
    <definedName name="Escalão">Folha3!$D$3:$D$6</definedName>
    <definedName name="fase">Folha3!$D$11:$D$13</definedName>
    <definedName name="sexo">Folha3!$F$3:$F$4</definedName>
    <definedName name="_xlnm.Print_Titles" localSheetId="1">'Fase Grupos'!$1:$11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5" l="1"/>
  <c r="M4" i="10"/>
  <c r="O25" i="10"/>
  <c r="G17" i="10" s="1"/>
  <c r="A7" i="10" s="1"/>
  <c r="O24" i="10"/>
  <c r="G16" i="10" s="1"/>
  <c r="A6" i="10" s="1"/>
  <c r="O10" i="10"/>
  <c r="Q12" i="10" s="1"/>
  <c r="S17" i="10" s="1"/>
  <c r="S7" i="10" s="1"/>
  <c r="O9" i="10"/>
  <c r="Q11" i="10" s="1"/>
  <c r="S16" i="10" s="1"/>
  <c r="S6" i="10" s="1"/>
  <c r="I20" i="10"/>
  <c r="G22" i="10" s="1"/>
  <c r="E24" i="10" s="1"/>
  <c r="I19" i="10"/>
  <c r="G21" i="10" s="1"/>
  <c r="E23" i="10" s="1"/>
  <c r="I15" i="10"/>
  <c r="A13" i="10" s="1"/>
  <c r="I14" i="10"/>
  <c r="A12" i="10" s="1"/>
  <c r="AC14" i="2"/>
  <c r="A3" i="14"/>
  <c r="A3" i="13"/>
  <c r="A3" i="12"/>
  <c r="A17" i="11"/>
  <c r="A3" i="11"/>
  <c r="A45" i="9"/>
  <c r="A31" i="9"/>
  <c r="A17" i="9"/>
  <c r="A3" i="9"/>
  <c r="A45" i="8"/>
  <c r="A31" i="8"/>
  <c r="A17" i="8"/>
  <c r="A3" i="8"/>
  <c r="A45" i="7"/>
  <c r="A31" i="7"/>
  <c r="A17" i="7"/>
  <c r="A3" i="7"/>
  <c r="Q8" i="10"/>
  <c r="Q7" i="10"/>
  <c r="C8" i="10"/>
  <c r="C7" i="10"/>
  <c r="C14" i="10"/>
  <c r="C13" i="10"/>
  <c r="C10" i="5"/>
  <c r="C9" i="5"/>
  <c r="C8" i="5"/>
  <c r="A3" i="6"/>
  <c r="A325" i="6"/>
  <c r="A311" i="6"/>
  <c r="A297" i="6"/>
  <c r="A283" i="6"/>
  <c r="A269" i="6"/>
  <c r="A255" i="6"/>
  <c r="A241" i="6"/>
  <c r="A227" i="6"/>
  <c r="A213" i="6"/>
  <c r="A199" i="6"/>
  <c r="A185" i="6"/>
  <c r="A171" i="6"/>
  <c r="A157" i="6"/>
  <c r="A143" i="6"/>
  <c r="A129" i="6"/>
  <c r="A115" i="6"/>
  <c r="A101" i="6"/>
  <c r="A87" i="6"/>
  <c r="A73" i="6"/>
  <c r="A59" i="6"/>
  <c r="A45" i="6"/>
  <c r="A31" i="6"/>
  <c r="A17" i="6"/>
  <c r="A323" i="6"/>
  <c r="A309" i="6"/>
  <c r="A295" i="6"/>
  <c r="A281" i="6"/>
  <c r="A267" i="6"/>
  <c r="A253" i="6"/>
  <c r="A239" i="6"/>
  <c r="A225" i="6"/>
  <c r="A211" i="6"/>
  <c r="A197" i="6"/>
  <c r="A183" i="6"/>
  <c r="A169" i="6"/>
  <c r="A155" i="6"/>
  <c r="A141" i="6"/>
  <c r="A127" i="6"/>
  <c r="A113" i="6"/>
  <c r="A99" i="6"/>
  <c r="A85" i="6"/>
  <c r="A71" i="6"/>
  <c r="A57" i="6"/>
  <c r="A43" i="6"/>
  <c r="A29" i="6"/>
  <c r="A1" i="6"/>
  <c r="A15" i="6"/>
  <c r="AO10" i="2"/>
  <c r="AO9" i="2"/>
  <c r="AO8" i="2"/>
  <c r="AM6" i="2"/>
  <c r="A1" i="13" s="1"/>
  <c r="A1" i="11" l="1"/>
  <c r="A1" i="14"/>
  <c r="A15" i="11"/>
  <c r="A1" i="12"/>
  <c r="A6" i="5"/>
  <c r="A43" i="9"/>
  <c r="A29" i="9"/>
  <c r="A15" i="9"/>
  <c r="A1" i="9"/>
  <c r="A43" i="8"/>
  <c r="A29" i="8"/>
  <c r="A15" i="8"/>
  <c r="A1" i="8"/>
  <c r="A43" i="7"/>
  <c r="A29" i="7"/>
  <c r="A15" i="7"/>
  <c r="A1" i="7"/>
  <c r="AN14" i="2" l="1"/>
  <c r="A37" i="6" s="1"/>
  <c r="AN74" i="2" l="1"/>
  <c r="AH74" i="2"/>
  <c r="AG74" i="2"/>
  <c r="AF74" i="2"/>
  <c r="AE74" i="2"/>
  <c r="AD74" i="2"/>
  <c r="AC74" i="2"/>
  <c r="AB74" i="2"/>
  <c r="AA74" i="2"/>
  <c r="X74" i="2"/>
  <c r="W74" i="2"/>
  <c r="V74" i="2"/>
  <c r="U74" i="2"/>
  <c r="T74" i="2"/>
  <c r="S74" i="2"/>
  <c r="R74" i="2"/>
  <c r="Q74" i="2"/>
  <c r="P74" i="2"/>
  <c r="O74" i="2"/>
  <c r="AG73" i="2"/>
  <c r="AF73" i="2"/>
  <c r="AE73" i="2"/>
  <c r="AD73" i="2"/>
  <c r="AC73" i="2"/>
  <c r="X73" i="2"/>
  <c r="W73" i="2"/>
  <c r="V73" i="2"/>
  <c r="U73" i="2"/>
  <c r="T73" i="2"/>
  <c r="S73" i="2"/>
  <c r="R73" i="2"/>
  <c r="Q73" i="2"/>
  <c r="P73" i="2"/>
  <c r="O73" i="2"/>
  <c r="AN72" i="2"/>
  <c r="AG72" i="2"/>
  <c r="AF72" i="2"/>
  <c r="AE72" i="2"/>
  <c r="AD72" i="2"/>
  <c r="AC72" i="2"/>
  <c r="X72" i="2"/>
  <c r="W72" i="2"/>
  <c r="V72" i="2"/>
  <c r="U72" i="2"/>
  <c r="T72" i="2"/>
  <c r="S72" i="2"/>
  <c r="R72" i="2"/>
  <c r="Q72" i="2"/>
  <c r="P72" i="2"/>
  <c r="O72" i="2"/>
  <c r="A72" i="2"/>
  <c r="AG71" i="2"/>
  <c r="AF71" i="2"/>
  <c r="AE71" i="2"/>
  <c r="AD71" i="2"/>
  <c r="AC71" i="2"/>
  <c r="X71" i="2"/>
  <c r="W71" i="2"/>
  <c r="V71" i="2"/>
  <c r="U71" i="2"/>
  <c r="T71" i="2"/>
  <c r="S71" i="2"/>
  <c r="R71" i="2"/>
  <c r="Q71" i="2"/>
  <c r="P71" i="2"/>
  <c r="O71" i="2"/>
  <c r="AN70" i="2"/>
  <c r="AG70" i="2"/>
  <c r="AF70" i="2"/>
  <c r="AE70" i="2"/>
  <c r="AD70" i="2"/>
  <c r="AC70" i="2"/>
  <c r="X70" i="2"/>
  <c r="W70" i="2"/>
  <c r="V70" i="2"/>
  <c r="U70" i="2"/>
  <c r="T70" i="2"/>
  <c r="S70" i="2"/>
  <c r="R70" i="2"/>
  <c r="Q70" i="2"/>
  <c r="P70" i="2"/>
  <c r="O70" i="2"/>
  <c r="AG69" i="2"/>
  <c r="AF69" i="2"/>
  <c r="AE69" i="2"/>
  <c r="AD69" i="2"/>
  <c r="AC69" i="2"/>
  <c r="X69" i="2"/>
  <c r="W69" i="2"/>
  <c r="V69" i="2"/>
  <c r="U69" i="2"/>
  <c r="T69" i="2"/>
  <c r="S69" i="2"/>
  <c r="R69" i="2"/>
  <c r="Q69" i="2"/>
  <c r="P69" i="2"/>
  <c r="O69" i="2"/>
  <c r="AN68" i="2"/>
  <c r="A289" i="6" s="1"/>
  <c r="AG68" i="2"/>
  <c r="AF68" i="2"/>
  <c r="AE68" i="2"/>
  <c r="AD68" i="2"/>
  <c r="AC68" i="2"/>
  <c r="X68" i="2"/>
  <c r="W68" i="2"/>
  <c r="V68" i="2"/>
  <c r="U68" i="2"/>
  <c r="T68" i="2"/>
  <c r="S68" i="2"/>
  <c r="R68" i="2"/>
  <c r="Q68" i="2"/>
  <c r="P68" i="2"/>
  <c r="O68" i="2"/>
  <c r="AN56" i="2"/>
  <c r="AH56" i="2"/>
  <c r="AG56" i="2"/>
  <c r="AF56" i="2"/>
  <c r="AE56" i="2"/>
  <c r="AD56" i="2"/>
  <c r="AC56" i="2"/>
  <c r="AB56" i="2"/>
  <c r="AA56" i="2"/>
  <c r="X56" i="2"/>
  <c r="W56" i="2"/>
  <c r="V56" i="2"/>
  <c r="U56" i="2"/>
  <c r="T56" i="2"/>
  <c r="S56" i="2"/>
  <c r="R56" i="2"/>
  <c r="Q56" i="2"/>
  <c r="P56" i="2"/>
  <c r="O56" i="2"/>
  <c r="AG55" i="2"/>
  <c r="AF55" i="2"/>
  <c r="AE55" i="2"/>
  <c r="AD55" i="2"/>
  <c r="AC55" i="2"/>
  <c r="X55" i="2"/>
  <c r="W55" i="2"/>
  <c r="V55" i="2"/>
  <c r="U55" i="2"/>
  <c r="T55" i="2"/>
  <c r="S55" i="2"/>
  <c r="R55" i="2"/>
  <c r="Q55" i="2"/>
  <c r="P55" i="2"/>
  <c r="O55" i="2"/>
  <c r="AN54" i="2"/>
  <c r="AG54" i="2"/>
  <c r="AF54" i="2"/>
  <c r="AE54" i="2"/>
  <c r="AD54" i="2"/>
  <c r="AC54" i="2"/>
  <c r="X54" i="2"/>
  <c r="W54" i="2"/>
  <c r="V54" i="2"/>
  <c r="U54" i="2"/>
  <c r="T54" i="2"/>
  <c r="S54" i="2"/>
  <c r="R54" i="2"/>
  <c r="Q54" i="2"/>
  <c r="P54" i="2"/>
  <c r="O54" i="2"/>
  <c r="A54" i="2"/>
  <c r="AG53" i="2"/>
  <c r="AF53" i="2"/>
  <c r="AE53" i="2"/>
  <c r="AD53" i="2"/>
  <c r="AC53" i="2"/>
  <c r="X53" i="2"/>
  <c r="W53" i="2"/>
  <c r="V53" i="2"/>
  <c r="U53" i="2"/>
  <c r="T53" i="2"/>
  <c r="S53" i="2"/>
  <c r="R53" i="2"/>
  <c r="Q53" i="2"/>
  <c r="P53" i="2"/>
  <c r="O53" i="2"/>
  <c r="AN52" i="2"/>
  <c r="AG52" i="2"/>
  <c r="AF52" i="2"/>
  <c r="AE52" i="2"/>
  <c r="AD52" i="2"/>
  <c r="AC52" i="2"/>
  <c r="X52" i="2"/>
  <c r="W52" i="2"/>
  <c r="V52" i="2"/>
  <c r="U52" i="2"/>
  <c r="T52" i="2"/>
  <c r="S52" i="2"/>
  <c r="R52" i="2"/>
  <c r="Q52" i="2"/>
  <c r="P52" i="2"/>
  <c r="O52" i="2"/>
  <c r="AG51" i="2"/>
  <c r="AF51" i="2"/>
  <c r="AE51" i="2"/>
  <c r="AD51" i="2"/>
  <c r="AC51" i="2"/>
  <c r="X51" i="2"/>
  <c r="W51" i="2"/>
  <c r="V51" i="2"/>
  <c r="U51" i="2"/>
  <c r="T51" i="2"/>
  <c r="S51" i="2"/>
  <c r="R51" i="2"/>
  <c r="Q51" i="2"/>
  <c r="P51" i="2"/>
  <c r="O51" i="2"/>
  <c r="AN50" i="2"/>
  <c r="A205" i="6" s="1"/>
  <c r="AG50" i="2"/>
  <c r="AF50" i="2"/>
  <c r="AE50" i="2"/>
  <c r="AD50" i="2"/>
  <c r="AC50" i="2"/>
  <c r="X50" i="2"/>
  <c r="W50" i="2"/>
  <c r="V50" i="2"/>
  <c r="U50" i="2"/>
  <c r="T50" i="2"/>
  <c r="S50" i="2"/>
  <c r="R50" i="2"/>
  <c r="Q50" i="2"/>
  <c r="P50" i="2"/>
  <c r="O50" i="2"/>
  <c r="AN38" i="2"/>
  <c r="AH38" i="2"/>
  <c r="AG38" i="2"/>
  <c r="AF38" i="2"/>
  <c r="AE38" i="2"/>
  <c r="AD38" i="2"/>
  <c r="AC38" i="2"/>
  <c r="AB38" i="2"/>
  <c r="AA38" i="2"/>
  <c r="X38" i="2"/>
  <c r="W38" i="2"/>
  <c r="V38" i="2"/>
  <c r="U38" i="2"/>
  <c r="T38" i="2"/>
  <c r="S38" i="2"/>
  <c r="R38" i="2"/>
  <c r="Q38" i="2"/>
  <c r="P38" i="2"/>
  <c r="O38" i="2"/>
  <c r="AG37" i="2"/>
  <c r="AF37" i="2"/>
  <c r="AE37" i="2"/>
  <c r="AD37" i="2"/>
  <c r="AC37" i="2"/>
  <c r="X37" i="2"/>
  <c r="W37" i="2"/>
  <c r="V37" i="2"/>
  <c r="U37" i="2"/>
  <c r="T37" i="2"/>
  <c r="S37" i="2"/>
  <c r="R37" i="2"/>
  <c r="Q37" i="2"/>
  <c r="P37" i="2"/>
  <c r="O37" i="2"/>
  <c r="AN36" i="2"/>
  <c r="AG36" i="2"/>
  <c r="AF36" i="2"/>
  <c r="AE36" i="2"/>
  <c r="AD36" i="2"/>
  <c r="AC36" i="2"/>
  <c r="X36" i="2"/>
  <c r="W36" i="2"/>
  <c r="V36" i="2"/>
  <c r="U36" i="2"/>
  <c r="T36" i="2"/>
  <c r="S36" i="2"/>
  <c r="R36" i="2"/>
  <c r="Q36" i="2"/>
  <c r="P36" i="2"/>
  <c r="O36" i="2"/>
  <c r="A36" i="2"/>
  <c r="AG35" i="2"/>
  <c r="AF35" i="2"/>
  <c r="AE35" i="2"/>
  <c r="AD35" i="2"/>
  <c r="AC35" i="2"/>
  <c r="X35" i="2"/>
  <c r="W35" i="2"/>
  <c r="V35" i="2"/>
  <c r="U35" i="2"/>
  <c r="T35" i="2"/>
  <c r="S35" i="2"/>
  <c r="R35" i="2"/>
  <c r="Q35" i="2"/>
  <c r="P35" i="2"/>
  <c r="O35" i="2"/>
  <c r="AN34" i="2"/>
  <c r="AG34" i="2"/>
  <c r="AF34" i="2"/>
  <c r="AE34" i="2"/>
  <c r="AD34" i="2"/>
  <c r="AC34" i="2"/>
  <c r="X34" i="2"/>
  <c r="W34" i="2"/>
  <c r="V34" i="2"/>
  <c r="U34" i="2"/>
  <c r="T34" i="2"/>
  <c r="S34" i="2"/>
  <c r="R34" i="2"/>
  <c r="Q34" i="2"/>
  <c r="P34" i="2"/>
  <c r="O34" i="2"/>
  <c r="AG33" i="2"/>
  <c r="AF33" i="2"/>
  <c r="AE33" i="2"/>
  <c r="AD33" i="2"/>
  <c r="AC33" i="2"/>
  <c r="X33" i="2"/>
  <c r="W33" i="2"/>
  <c r="V33" i="2"/>
  <c r="U33" i="2"/>
  <c r="T33" i="2"/>
  <c r="S33" i="2"/>
  <c r="R33" i="2"/>
  <c r="Q33" i="2"/>
  <c r="P33" i="2"/>
  <c r="O33" i="2"/>
  <c r="AN32" i="2"/>
  <c r="A121" i="6" s="1"/>
  <c r="AG32" i="2"/>
  <c r="AF32" i="2"/>
  <c r="AE32" i="2"/>
  <c r="AD32" i="2"/>
  <c r="AC32" i="2"/>
  <c r="X32" i="2"/>
  <c r="W32" i="2"/>
  <c r="V32" i="2"/>
  <c r="U32" i="2"/>
  <c r="T32" i="2"/>
  <c r="S32" i="2"/>
  <c r="R32" i="2"/>
  <c r="Q32" i="2"/>
  <c r="P32" i="2"/>
  <c r="O32" i="2"/>
  <c r="A107" i="6" l="1"/>
  <c r="A122" i="6"/>
  <c r="A164" i="6"/>
  <c r="A94" i="6"/>
  <c r="A135" i="6"/>
  <c r="AO52" i="2"/>
  <c r="AR48" i="2" s="1"/>
  <c r="A191" i="6"/>
  <c r="A206" i="6"/>
  <c r="AP54" i="2"/>
  <c r="AZ54" i="2" s="1"/>
  <c r="A248" i="6"/>
  <c r="A178" i="6"/>
  <c r="A219" i="6"/>
  <c r="A136" i="6"/>
  <c r="A150" i="6"/>
  <c r="A108" i="6"/>
  <c r="A290" i="6"/>
  <c r="A275" i="6"/>
  <c r="A332" i="6"/>
  <c r="A262" i="6"/>
  <c r="A303" i="6"/>
  <c r="A234" i="6"/>
  <c r="A192" i="6"/>
  <c r="A220" i="6"/>
  <c r="A304" i="6"/>
  <c r="A318" i="6"/>
  <c r="A276" i="6"/>
  <c r="AH70" i="2"/>
  <c r="AR69" i="2" s="1"/>
  <c r="AH71" i="2"/>
  <c r="AT73" i="2" s="1"/>
  <c r="AH72" i="2"/>
  <c r="AT69" i="2" s="1"/>
  <c r="AH73" i="2"/>
  <c r="AS71" i="2" s="1"/>
  <c r="AP34" i="2"/>
  <c r="R163" i="6" s="1"/>
  <c r="A163" i="6"/>
  <c r="AO36" i="2"/>
  <c r="AP32" i="2"/>
  <c r="R121" i="6" s="1"/>
  <c r="A149" i="6"/>
  <c r="A93" i="6"/>
  <c r="AO38" i="2"/>
  <c r="AY38" i="2" s="1"/>
  <c r="AP74" i="2"/>
  <c r="AO72" i="2"/>
  <c r="AP70" i="2"/>
  <c r="A331" i="6"/>
  <c r="AP68" i="2"/>
  <c r="R289" i="6" s="1"/>
  <c r="A317" i="6"/>
  <c r="A261" i="6"/>
  <c r="AO56" i="2"/>
  <c r="AO54" i="2"/>
  <c r="AP52" i="2"/>
  <c r="A247" i="6"/>
  <c r="AP50" i="2"/>
  <c r="R205" i="6" s="1"/>
  <c r="A177" i="6"/>
  <c r="A233" i="6"/>
  <c r="AZ32" i="2"/>
  <c r="R93" i="6"/>
  <c r="AO50" i="2"/>
  <c r="D205" i="6" s="1"/>
  <c r="AP56" i="2"/>
  <c r="Y56" i="2"/>
  <c r="AH68" i="2"/>
  <c r="AS69" i="2" s="1"/>
  <c r="Z37" i="2"/>
  <c r="Y69" i="2"/>
  <c r="AH69" i="2"/>
  <c r="AT71" i="2" s="1"/>
  <c r="AP72" i="2"/>
  <c r="Z72" i="2"/>
  <c r="Y73" i="2"/>
  <c r="Z74" i="2"/>
  <c r="AH50" i="2"/>
  <c r="AS51" i="2" s="1"/>
  <c r="Y55" i="2"/>
  <c r="AH53" i="2"/>
  <c r="AT55" i="2" s="1"/>
  <c r="AH54" i="2"/>
  <c r="AT51" i="2" s="1"/>
  <c r="AH55" i="2"/>
  <c r="AS53" i="2" s="1"/>
  <c r="AO70" i="2"/>
  <c r="AH51" i="2"/>
  <c r="AT53" i="2" s="1"/>
  <c r="Z51" i="2"/>
  <c r="Z68" i="2"/>
  <c r="Z53" i="2"/>
  <c r="Z54" i="2"/>
  <c r="Z55" i="2"/>
  <c r="Z56" i="2"/>
  <c r="Z69" i="2"/>
  <c r="AB69" i="2" s="1"/>
  <c r="Z70" i="2"/>
  <c r="Y71" i="2"/>
  <c r="Y50" i="2"/>
  <c r="Y72" i="2"/>
  <c r="Y74" i="2"/>
  <c r="Y52" i="2"/>
  <c r="Z71" i="2"/>
  <c r="Z73" i="2"/>
  <c r="AB73" i="2" s="1"/>
  <c r="Z50" i="2"/>
  <c r="Z52" i="2"/>
  <c r="AO68" i="2"/>
  <c r="D289" i="6" s="1"/>
  <c r="AO74" i="2"/>
  <c r="Y51" i="2"/>
  <c r="AP36" i="2"/>
  <c r="AH52" i="2"/>
  <c r="AR51" i="2" s="1"/>
  <c r="Y53" i="2"/>
  <c r="Y54" i="2"/>
  <c r="Y68" i="2"/>
  <c r="Y70" i="2"/>
  <c r="Z33" i="2"/>
  <c r="AH32" i="2"/>
  <c r="AS33" i="2" s="1"/>
  <c r="AH33" i="2"/>
  <c r="AT35" i="2" s="1"/>
  <c r="AH37" i="2"/>
  <c r="AS35" i="2" s="1"/>
  <c r="AP38" i="2"/>
  <c r="AY36" i="2"/>
  <c r="AS30" i="2"/>
  <c r="Y32" i="2"/>
  <c r="Y33" i="2"/>
  <c r="Y34" i="2"/>
  <c r="Y35" i="2"/>
  <c r="Y36" i="2"/>
  <c r="Z34" i="2"/>
  <c r="Z35" i="2"/>
  <c r="Z36" i="2"/>
  <c r="Y38" i="2"/>
  <c r="Z32" i="2"/>
  <c r="AH34" i="2"/>
  <c r="AR33" i="2" s="1"/>
  <c r="AH35" i="2"/>
  <c r="AT37" i="2" s="1"/>
  <c r="AH36" i="2"/>
  <c r="AT33" i="2" s="1"/>
  <c r="Y37" i="2"/>
  <c r="Z38" i="2"/>
  <c r="AO34" i="2"/>
  <c r="AO32" i="2"/>
  <c r="D121" i="6" s="1"/>
  <c r="AN20" i="2"/>
  <c r="AN18" i="2"/>
  <c r="AN16" i="2"/>
  <c r="AP14" i="2"/>
  <c r="R37" i="6" s="1"/>
  <c r="AH20" i="2"/>
  <c r="AG20" i="2"/>
  <c r="AF20" i="2"/>
  <c r="AE20" i="2"/>
  <c r="AD20" i="2"/>
  <c r="AC20" i="2"/>
  <c r="AB20" i="2"/>
  <c r="AA20" i="2"/>
  <c r="X20" i="2"/>
  <c r="W20" i="2"/>
  <c r="V20" i="2"/>
  <c r="U20" i="2"/>
  <c r="T20" i="2"/>
  <c r="S20" i="2"/>
  <c r="R20" i="2"/>
  <c r="Q20" i="2"/>
  <c r="P20" i="2"/>
  <c r="O20" i="2"/>
  <c r="AG19" i="2"/>
  <c r="AF19" i="2"/>
  <c r="AE19" i="2"/>
  <c r="AD19" i="2"/>
  <c r="AC19" i="2"/>
  <c r="X19" i="2"/>
  <c r="W19" i="2"/>
  <c r="V19" i="2"/>
  <c r="U19" i="2"/>
  <c r="T19" i="2"/>
  <c r="S19" i="2"/>
  <c r="R19" i="2"/>
  <c r="Q19" i="2"/>
  <c r="P19" i="2"/>
  <c r="O19" i="2"/>
  <c r="AG18" i="2"/>
  <c r="AF18" i="2"/>
  <c r="AE18" i="2"/>
  <c r="AD18" i="2"/>
  <c r="AC18" i="2"/>
  <c r="X18" i="2"/>
  <c r="W18" i="2"/>
  <c r="V18" i="2"/>
  <c r="U18" i="2"/>
  <c r="T18" i="2"/>
  <c r="S18" i="2"/>
  <c r="R18" i="2"/>
  <c r="Q18" i="2"/>
  <c r="P18" i="2"/>
  <c r="O18" i="2"/>
  <c r="A18" i="2"/>
  <c r="AG17" i="2"/>
  <c r="AF17" i="2"/>
  <c r="AE17" i="2"/>
  <c r="AD17" i="2"/>
  <c r="AC17" i="2"/>
  <c r="X17" i="2"/>
  <c r="W17" i="2"/>
  <c r="V17" i="2"/>
  <c r="U17" i="2"/>
  <c r="T17" i="2"/>
  <c r="S17" i="2"/>
  <c r="R17" i="2"/>
  <c r="Q17" i="2"/>
  <c r="P17" i="2"/>
  <c r="O17" i="2"/>
  <c r="AG16" i="2"/>
  <c r="AF16" i="2"/>
  <c r="AE16" i="2"/>
  <c r="AD16" i="2"/>
  <c r="AC16" i="2"/>
  <c r="X16" i="2"/>
  <c r="W16" i="2"/>
  <c r="V16" i="2"/>
  <c r="U16" i="2"/>
  <c r="T16" i="2"/>
  <c r="S16" i="2"/>
  <c r="R16" i="2"/>
  <c r="Q16" i="2"/>
  <c r="P16" i="2"/>
  <c r="O16" i="2"/>
  <c r="AG15" i="2"/>
  <c r="AF15" i="2"/>
  <c r="AE15" i="2"/>
  <c r="AD15" i="2"/>
  <c r="AC15" i="2"/>
  <c r="X15" i="2"/>
  <c r="W15" i="2"/>
  <c r="V15" i="2"/>
  <c r="U15" i="2"/>
  <c r="T15" i="2"/>
  <c r="S15" i="2"/>
  <c r="R15" i="2"/>
  <c r="Q15" i="2"/>
  <c r="P15" i="2"/>
  <c r="O15" i="2"/>
  <c r="AG14" i="2"/>
  <c r="AF14" i="2"/>
  <c r="AE14" i="2"/>
  <c r="AD14" i="2"/>
  <c r="X14" i="2"/>
  <c r="W14" i="2"/>
  <c r="V14" i="2"/>
  <c r="U14" i="2"/>
  <c r="T14" i="2"/>
  <c r="S14" i="2"/>
  <c r="R14" i="2"/>
  <c r="Q14" i="2"/>
  <c r="P14" i="2"/>
  <c r="O14" i="2"/>
  <c r="AT30" i="2" l="1"/>
  <c r="Z18" i="2"/>
  <c r="Z17" i="2"/>
  <c r="R149" i="6"/>
  <c r="AS50" i="2"/>
  <c r="AQ54" i="2"/>
  <c r="R275" i="6"/>
  <c r="R290" i="6"/>
  <c r="Z20" i="2"/>
  <c r="AQ72" i="2"/>
  <c r="AS68" i="2"/>
  <c r="AT72" i="2"/>
  <c r="AS74" i="2"/>
  <c r="R206" i="6"/>
  <c r="R191" i="6"/>
  <c r="D332" i="6"/>
  <c r="D303" i="6"/>
  <c r="D262" i="6"/>
  <c r="R107" i="6"/>
  <c r="R122" i="6"/>
  <c r="AR68" i="2"/>
  <c r="AQ70" i="2"/>
  <c r="AS52" i="2"/>
  <c r="AR54" i="2"/>
  <c r="Z19" i="2"/>
  <c r="D248" i="6"/>
  <c r="D219" i="6"/>
  <c r="D178" i="6"/>
  <c r="AP16" i="2"/>
  <c r="AZ16" i="2" s="1"/>
  <c r="A23" i="6"/>
  <c r="A38" i="6"/>
  <c r="AS34" i="2"/>
  <c r="AR36" i="2"/>
  <c r="R108" i="6"/>
  <c r="R150" i="6"/>
  <c r="R136" i="6"/>
  <c r="AS56" i="2"/>
  <c r="AT54" i="2"/>
  <c r="AR72" i="2"/>
  <c r="AS70" i="2"/>
  <c r="R220" i="6"/>
  <c r="R192" i="6"/>
  <c r="R234" i="6"/>
  <c r="D192" i="6"/>
  <c r="D234" i="6"/>
  <c r="D220" i="6"/>
  <c r="D150" i="6"/>
  <c r="D108" i="6"/>
  <c r="D136" i="6"/>
  <c r="AS32" i="2"/>
  <c r="AQ36" i="2"/>
  <c r="AQ56" i="2"/>
  <c r="AT50" i="2"/>
  <c r="D191" i="6"/>
  <c r="D206" i="6"/>
  <c r="Z16" i="2"/>
  <c r="AP18" i="2"/>
  <c r="AZ18" i="2" s="1"/>
  <c r="A80" i="6"/>
  <c r="A10" i="6"/>
  <c r="A51" i="6"/>
  <c r="AT32" i="2"/>
  <c r="AQ38" i="2"/>
  <c r="D275" i="6"/>
  <c r="D290" i="6"/>
  <c r="AZ34" i="2"/>
  <c r="Z15" i="2"/>
  <c r="AP20" i="2"/>
  <c r="A52" i="6"/>
  <c r="A24" i="6"/>
  <c r="A66" i="6"/>
  <c r="AS38" i="2"/>
  <c r="AT36" i="2"/>
  <c r="R135" i="6"/>
  <c r="R164" i="6"/>
  <c r="R94" i="6"/>
  <c r="AR50" i="2"/>
  <c r="AQ52" i="2"/>
  <c r="R332" i="6"/>
  <c r="R262" i="6"/>
  <c r="R303" i="6"/>
  <c r="AR32" i="2"/>
  <c r="AQ34" i="2"/>
  <c r="AR56" i="2"/>
  <c r="AT52" i="2"/>
  <c r="D247" i="6"/>
  <c r="R276" i="6"/>
  <c r="R318" i="6"/>
  <c r="R304" i="6"/>
  <c r="D107" i="6"/>
  <c r="D122" i="6"/>
  <c r="AR38" i="2"/>
  <c r="AT34" i="2"/>
  <c r="D304" i="6"/>
  <c r="D318" i="6"/>
  <c r="D276" i="6"/>
  <c r="AT68" i="2"/>
  <c r="AQ74" i="2"/>
  <c r="AR74" i="2"/>
  <c r="AT70" i="2"/>
  <c r="AY52" i="2"/>
  <c r="D164" i="6"/>
  <c r="D135" i="6"/>
  <c r="D94" i="6"/>
  <c r="R219" i="6"/>
  <c r="R248" i="6"/>
  <c r="R178" i="6"/>
  <c r="AB37" i="2"/>
  <c r="AB54" i="2"/>
  <c r="AZ50" i="2"/>
  <c r="AS48" i="2"/>
  <c r="R247" i="6"/>
  <c r="R331" i="6"/>
  <c r="AZ74" i="2"/>
  <c r="AZ14" i="2"/>
  <c r="R261" i="6"/>
  <c r="R317" i="6"/>
  <c r="AZ68" i="2"/>
  <c r="AY72" i="2"/>
  <c r="AS66" i="2"/>
  <c r="AZ70" i="2"/>
  <c r="AT48" i="2"/>
  <c r="AY56" i="2"/>
  <c r="AY54" i="2"/>
  <c r="AZ52" i="2"/>
  <c r="R177" i="6"/>
  <c r="R233" i="6"/>
  <c r="AY74" i="2"/>
  <c r="AZ38" i="2"/>
  <c r="AY68" i="2"/>
  <c r="D317" i="6"/>
  <c r="D261" i="6"/>
  <c r="AZ56" i="2"/>
  <c r="D163" i="6"/>
  <c r="AY70" i="2"/>
  <c r="D331" i="6"/>
  <c r="AY50" i="2"/>
  <c r="D233" i="6"/>
  <c r="D177" i="6"/>
  <c r="AQ48" i="2"/>
  <c r="AZ36" i="2"/>
  <c r="AZ72" i="2"/>
  <c r="D149" i="6"/>
  <c r="D93" i="6"/>
  <c r="AB33" i="2"/>
  <c r="AB50" i="2"/>
  <c r="AR66" i="2"/>
  <c r="AA72" i="2"/>
  <c r="AB52" i="2"/>
  <c r="AA55" i="2"/>
  <c r="AB72" i="2"/>
  <c r="AA54" i="2"/>
  <c r="AB70" i="2"/>
  <c r="AA68" i="2"/>
  <c r="AB51" i="2"/>
  <c r="AB71" i="2"/>
  <c r="AA52" i="2"/>
  <c r="AA71" i="2"/>
  <c r="AB53" i="2"/>
  <c r="AQ66" i="2"/>
  <c r="AA33" i="2"/>
  <c r="AA50" i="2"/>
  <c r="AA51" i="2"/>
  <c r="AA73" i="2"/>
  <c r="AB55" i="2"/>
  <c r="AT66" i="2"/>
  <c r="AB36" i="2"/>
  <c r="AA53" i="2"/>
  <c r="AA70" i="2"/>
  <c r="AA69" i="2"/>
  <c r="AI70" i="2" s="1"/>
  <c r="AU70" i="2" s="1"/>
  <c r="AB68" i="2"/>
  <c r="AB35" i="2"/>
  <c r="Z14" i="2"/>
  <c r="AO16" i="2"/>
  <c r="AA36" i="2"/>
  <c r="AB32" i="2"/>
  <c r="Y14" i="2"/>
  <c r="AA35" i="2"/>
  <c r="AA37" i="2"/>
  <c r="AA32" i="2"/>
  <c r="AB34" i="2"/>
  <c r="AA34" i="2"/>
  <c r="AY32" i="2"/>
  <c r="AQ30" i="2"/>
  <c r="AY34" i="2"/>
  <c r="AR30" i="2"/>
  <c r="A9" i="6"/>
  <c r="Y19" i="2"/>
  <c r="Y18" i="2"/>
  <c r="R65" i="6"/>
  <c r="R79" i="6"/>
  <c r="R9" i="6"/>
  <c r="AB18" i="2"/>
  <c r="A65" i="6"/>
  <c r="AO18" i="2"/>
  <c r="Y20" i="2"/>
  <c r="A79" i="6"/>
  <c r="AO20" i="2"/>
  <c r="AO14" i="2"/>
  <c r="Y16" i="2"/>
  <c r="Y17" i="2"/>
  <c r="AH16" i="2"/>
  <c r="AR15" i="2" s="1"/>
  <c r="AH17" i="2"/>
  <c r="AT19" i="2" s="1"/>
  <c r="AH18" i="2"/>
  <c r="AT15" i="2" s="1"/>
  <c r="AH19" i="2"/>
  <c r="AS17" i="2" s="1"/>
  <c r="Y15" i="2"/>
  <c r="AH15" i="2"/>
  <c r="AT17" i="2" s="1"/>
  <c r="AH14" i="2"/>
  <c r="AS15" i="2" s="1"/>
  <c r="AI50" i="2" l="1"/>
  <c r="AU50" i="2" s="1"/>
  <c r="R52" i="6"/>
  <c r="R24" i="6"/>
  <c r="R66" i="6"/>
  <c r="AI52" i="2"/>
  <c r="AU52" i="2" s="1"/>
  <c r="R51" i="6"/>
  <c r="R80" i="6"/>
  <c r="R10" i="6"/>
  <c r="AQ16" i="2"/>
  <c r="AR14" i="2"/>
  <c r="D37" i="6"/>
  <c r="D9" i="6"/>
  <c r="AR20" i="2"/>
  <c r="AT16" i="2"/>
  <c r="D52" i="6"/>
  <c r="D66" i="6"/>
  <c r="D24" i="6"/>
  <c r="AT18" i="2"/>
  <c r="AS20" i="2"/>
  <c r="AQ20" i="2"/>
  <c r="AT14" i="2"/>
  <c r="D38" i="6"/>
  <c r="D23" i="6"/>
  <c r="AI56" i="2"/>
  <c r="AU56" i="2" s="1"/>
  <c r="AS16" i="2"/>
  <c r="AR18" i="2"/>
  <c r="D80" i="6"/>
  <c r="D51" i="6"/>
  <c r="D10" i="6"/>
  <c r="AZ20" i="2"/>
  <c r="R23" i="6"/>
  <c r="R38" i="6"/>
  <c r="AI68" i="2"/>
  <c r="AU68" i="2" s="1"/>
  <c r="AS14" i="2"/>
  <c r="AQ18" i="2"/>
  <c r="AI74" i="2"/>
  <c r="AU74" i="2" s="1"/>
  <c r="AR12" i="2"/>
  <c r="AS12" i="2"/>
  <c r="AI36" i="2"/>
  <c r="AU36" i="2" s="1"/>
  <c r="AI54" i="2"/>
  <c r="AJ50" i="2" s="1"/>
  <c r="AV50" i="2" s="1"/>
  <c r="AA15" i="2"/>
  <c r="AI72" i="2"/>
  <c r="AI32" i="2"/>
  <c r="AU32" i="2" s="1"/>
  <c r="AB19" i="2"/>
  <c r="AI38" i="2"/>
  <c r="AU38" i="2" s="1"/>
  <c r="AI34" i="2"/>
  <c r="AU34" i="2" s="1"/>
  <c r="AB14" i="2"/>
  <c r="AA14" i="2"/>
  <c r="D79" i="6"/>
  <c r="AY16" i="2"/>
  <c r="AA19" i="2"/>
  <c r="AA18" i="2"/>
  <c r="AB16" i="2"/>
  <c r="AA17" i="2"/>
  <c r="AY18" i="2"/>
  <c r="D65" i="6"/>
  <c r="AY20" i="2"/>
  <c r="AT12" i="2"/>
  <c r="AY14" i="2"/>
  <c r="AQ12" i="2"/>
  <c r="AB17" i="2"/>
  <c r="AB15" i="2"/>
  <c r="AA16" i="2"/>
  <c r="AI18" i="2" l="1"/>
  <c r="AU18" i="2" s="1"/>
  <c r="AJ70" i="2"/>
  <c r="AV70" i="2" s="1"/>
  <c r="AJ56" i="2"/>
  <c r="AV56" i="2" s="1"/>
  <c r="AJ72" i="2"/>
  <c r="AV72" i="2" s="1"/>
  <c r="AJ68" i="2"/>
  <c r="AV68" i="2" s="1"/>
  <c r="AR79" i="2" s="1"/>
  <c r="AJ54" i="2"/>
  <c r="AV54" i="2" s="1"/>
  <c r="AU54" i="2"/>
  <c r="AJ52" i="2"/>
  <c r="AV52" i="2" s="1"/>
  <c r="AU60" i="2" s="1"/>
  <c r="AU72" i="2"/>
  <c r="AJ74" i="2"/>
  <c r="AV74" i="2" s="1"/>
  <c r="AI20" i="2"/>
  <c r="AU20" i="2" s="1"/>
  <c r="AJ38" i="2"/>
  <c r="AV38" i="2" s="1"/>
  <c r="AJ36" i="2"/>
  <c r="AV36" i="2" s="1"/>
  <c r="AJ34" i="2"/>
  <c r="AV34" i="2" s="1"/>
  <c r="AJ32" i="2"/>
  <c r="AV32" i="2" s="1"/>
  <c r="AI14" i="2"/>
  <c r="AU14" i="2" s="1"/>
  <c r="AI16" i="2"/>
  <c r="AU16" i="2" s="1"/>
  <c r="AR60" i="2" l="1"/>
  <c r="AU62" i="2"/>
  <c r="AR63" i="2"/>
  <c r="AU78" i="2"/>
  <c r="AU80" i="2"/>
  <c r="AU81" i="2"/>
  <c r="AU79" i="2"/>
  <c r="M21" i="10" s="1"/>
  <c r="M20" i="10"/>
  <c r="AR80" i="2"/>
  <c r="AU61" i="2"/>
  <c r="AR78" i="2"/>
  <c r="M19" i="10"/>
  <c r="O20" i="10" s="1"/>
  <c r="Q22" i="10" s="1"/>
  <c r="M14" i="10"/>
  <c r="O15" i="10" s="1"/>
  <c r="G27" i="10" s="1"/>
  <c r="A9" i="10" s="1"/>
  <c r="M16" i="10"/>
  <c r="M18" i="10"/>
  <c r="O19" i="10" s="1"/>
  <c r="Q21" i="10" s="1"/>
  <c r="AR62" i="2"/>
  <c r="AR61" i="2"/>
  <c r="AU63" i="2"/>
  <c r="AU42" i="2"/>
  <c r="AR45" i="2"/>
  <c r="AR44" i="2"/>
  <c r="AU43" i="2"/>
  <c r="AR42" i="2"/>
  <c r="AU44" i="2"/>
  <c r="AR43" i="2"/>
  <c r="AU45" i="2"/>
  <c r="AR81" i="2"/>
  <c r="AJ18" i="2"/>
  <c r="AV18" i="2" s="1"/>
  <c r="AJ14" i="2"/>
  <c r="AV14" i="2" s="1"/>
  <c r="AJ20" i="2"/>
  <c r="AV20" i="2" s="1"/>
  <c r="AJ16" i="2"/>
  <c r="AV16" i="2" s="1"/>
  <c r="AR24" i="2" l="1"/>
  <c r="R24" i="7"/>
  <c r="R38" i="7"/>
  <c r="D38" i="7"/>
  <c r="R37" i="7"/>
  <c r="R23" i="7"/>
  <c r="D37" i="7"/>
  <c r="M15" i="10"/>
  <c r="AU24" i="2"/>
  <c r="M9" i="10" s="1"/>
  <c r="AU25" i="2"/>
  <c r="M25" i="10"/>
  <c r="I24" i="10" s="1"/>
  <c r="A14" i="10" s="1"/>
  <c r="M11" i="10"/>
  <c r="I10" i="10" s="1"/>
  <c r="G12" i="10" s="1"/>
  <c r="E15" i="10" s="1"/>
  <c r="C19" i="10" s="1"/>
  <c r="A22" i="10" s="1"/>
  <c r="S9" i="10" s="1"/>
  <c r="M8" i="10"/>
  <c r="M26" i="10"/>
  <c r="I25" i="10" s="1"/>
  <c r="A15" i="10" s="1"/>
  <c r="M13" i="10"/>
  <c r="O14" i="10" s="1"/>
  <c r="G26" i="10" s="1"/>
  <c r="A8" i="10" s="1"/>
  <c r="M10" i="10"/>
  <c r="I9" i="10" s="1"/>
  <c r="G11" i="10" s="1"/>
  <c r="E14" i="10" s="1"/>
  <c r="C18" i="10" s="1"/>
  <c r="A21" i="10" s="1"/>
  <c r="S8" i="10" s="1"/>
  <c r="AR25" i="2"/>
  <c r="AU26" i="2"/>
  <c r="AU27" i="2"/>
  <c r="AR27" i="2"/>
  <c r="AR26" i="2"/>
  <c r="R51" i="8" l="1"/>
  <c r="D51" i="8"/>
  <c r="R38" i="8"/>
  <c r="R51" i="9"/>
  <c r="D24" i="7"/>
  <c r="D23" i="7"/>
  <c r="R10" i="8"/>
  <c r="D23" i="8"/>
  <c r="C25" i="10"/>
  <c r="R23" i="8"/>
  <c r="C26" i="10"/>
  <c r="D52" i="7"/>
  <c r="R52" i="7"/>
  <c r="D10" i="7"/>
  <c r="R10" i="7"/>
  <c r="R9" i="7"/>
  <c r="D9" i="7"/>
  <c r="M24" i="10"/>
  <c r="M23" i="10"/>
  <c r="D38" i="8" l="1"/>
  <c r="D51" i="9"/>
  <c r="D37" i="9"/>
  <c r="D10" i="11"/>
  <c r="R37" i="9"/>
  <c r="R10" i="11"/>
  <c r="E19" i="5"/>
  <c r="R38" i="9"/>
  <c r="D10" i="14"/>
  <c r="D10" i="9"/>
  <c r="D10" i="8"/>
  <c r="R10" i="14"/>
  <c r="R10" i="9"/>
  <c r="R52" i="9"/>
  <c r="R52" i="8"/>
  <c r="R37" i="8"/>
  <c r="D37" i="8"/>
  <c r="D52" i="9"/>
  <c r="D52" i="8"/>
  <c r="D9" i="8"/>
  <c r="D51" i="7"/>
  <c r="R9" i="8"/>
  <c r="R51" i="7"/>
  <c r="E18" i="5" l="1"/>
  <c r="D38" i="9"/>
  <c r="R24" i="11"/>
  <c r="E20" i="5"/>
  <c r="R23" i="9"/>
  <c r="D23" i="9"/>
  <c r="R24" i="8"/>
  <c r="D24" i="8"/>
  <c r="R9" i="9"/>
  <c r="D9" i="9"/>
  <c r="B15" i="5"/>
  <c r="F15" i="5" s="1"/>
  <c r="E22" i="5"/>
  <c r="E21" i="5"/>
  <c r="B22" i="5"/>
  <c r="B21" i="5"/>
  <c r="B18" i="5"/>
  <c r="D24" i="11" l="1"/>
  <c r="B20" i="5"/>
  <c r="F20" i="5" s="1"/>
  <c r="B19" i="5"/>
  <c r="F19" i="5" s="1"/>
  <c r="D9" i="11"/>
  <c r="R9" i="11"/>
  <c r="D10" i="12"/>
  <c r="D9" i="13"/>
  <c r="D23" i="11"/>
  <c r="D24" i="9"/>
  <c r="R10" i="12"/>
  <c r="R9" i="13"/>
  <c r="E15" i="5"/>
  <c r="R24" i="9"/>
  <c r="R23" i="11"/>
  <c r="F21" i="5"/>
  <c r="F18" i="5"/>
  <c r="F22" i="5"/>
  <c r="E17" i="5"/>
  <c r="B17" i="5"/>
  <c r="F17" i="5" s="1"/>
  <c r="R9" i="14" l="1"/>
  <c r="E16" i="5"/>
  <c r="D9" i="14"/>
  <c r="D10" i="13" l="1"/>
  <c r="D9" i="12"/>
  <c r="R9" i="12"/>
  <c r="R10" i="13"/>
  <c r="B16" i="5"/>
  <c r="F16" i="5" s="1"/>
</calcChain>
</file>

<file path=xl/sharedStrings.xml><?xml version="1.0" encoding="utf-8"?>
<sst xmlns="http://schemas.openxmlformats.org/spreadsheetml/2006/main" count="1049" uniqueCount="112">
  <si>
    <t>C</t>
  </si>
  <si>
    <t>D</t>
  </si>
  <si>
    <t>A</t>
  </si>
  <si>
    <t>B</t>
  </si>
  <si>
    <t>Nome</t>
  </si>
  <si>
    <t>Ordem dos Jogos</t>
  </si>
  <si>
    <t>1ª jornada &gt;&gt;</t>
  </si>
  <si>
    <t>1 - 4     ;     3 - 2</t>
  </si>
  <si>
    <t>2ª jornada &gt;&gt;</t>
  </si>
  <si>
    <t>4 - 3     ;     2 - 1</t>
  </si>
  <si>
    <t>3ª jornada &gt;&gt;</t>
  </si>
  <si>
    <t>1 - 3     ;     2 - 4</t>
  </si>
  <si>
    <t>1º</t>
  </si>
  <si>
    <t>2º</t>
  </si>
  <si>
    <t>3º</t>
  </si>
  <si>
    <t>4º</t>
  </si>
  <si>
    <t>Pontos</t>
  </si>
  <si>
    <t>Classif</t>
  </si>
  <si>
    <t>Classificação</t>
  </si>
  <si>
    <t>sexo</t>
  </si>
  <si>
    <t>Masculino</t>
  </si>
  <si>
    <t>Feminino</t>
  </si>
  <si>
    <t>escalão</t>
  </si>
  <si>
    <t>INFANTIS</t>
  </si>
  <si>
    <t>INICIADOS</t>
  </si>
  <si>
    <t>JUVENIS</t>
  </si>
  <si>
    <t>JUNIORES</t>
  </si>
  <si>
    <t>Escalão:</t>
  </si>
  <si>
    <t>Escola</t>
  </si>
  <si>
    <t>fase</t>
  </si>
  <si>
    <t>CLDE VISEU</t>
  </si>
  <si>
    <t>REGIONAL</t>
  </si>
  <si>
    <t>NACIONAL</t>
  </si>
  <si>
    <t>Género</t>
  </si>
  <si>
    <t>Fase</t>
  </si>
  <si>
    <t>Escalão</t>
  </si>
  <si>
    <t>Classificação Final Individual</t>
  </si>
  <si>
    <t>BOLETIM DE JOGO</t>
  </si>
  <si>
    <t>CONTROLE</t>
  </si>
  <si>
    <t>JOGO</t>
  </si>
  <si>
    <t>GRUPO</t>
  </si>
  <si>
    <t>HORA E MESA</t>
  </si>
  <si>
    <t>VAGA</t>
  </si>
  <si>
    <t>PONT.</t>
  </si>
  <si>
    <t>-</t>
  </si>
  <si>
    <t>Nº</t>
  </si>
  <si>
    <t>NOME</t>
  </si>
  <si>
    <t>1º set</t>
  </si>
  <si>
    <t>2º set</t>
  </si>
  <si>
    <t>3º set</t>
  </si>
  <si>
    <t>4º set</t>
  </si>
  <si>
    <t>5º set</t>
  </si>
  <si>
    <t>final</t>
  </si>
  <si>
    <t>o árbitro</t>
  </si>
  <si>
    <t>o vencedor</t>
  </si>
  <si>
    <t>por</t>
  </si>
  <si>
    <t>Grupo B</t>
  </si>
  <si>
    <t>Grupo C</t>
  </si>
  <si>
    <t>Grupo D</t>
  </si>
  <si>
    <t>Grupo A</t>
  </si>
  <si>
    <t>Inserir números de jogadores na coluna B</t>
  </si>
  <si>
    <t>FINAL</t>
  </si>
  <si>
    <t>5º e 6º</t>
  </si>
  <si>
    <t>7º e 8º</t>
  </si>
  <si>
    <t>Género:</t>
  </si>
  <si>
    <t>Finalíssima</t>
  </si>
  <si>
    <t>Apuramento dos 5º e 6º classificados</t>
  </si>
  <si>
    <t>(2)</t>
  </si>
  <si>
    <t>Apuramento dos 7º e 8º classificados</t>
  </si>
  <si>
    <t>(1)</t>
  </si>
  <si>
    <t>(3)</t>
  </si>
  <si>
    <t>Fase:</t>
  </si>
  <si>
    <t>(4)</t>
  </si>
  <si>
    <t>(5)</t>
  </si>
  <si>
    <t>(6)</t>
  </si>
  <si>
    <t>(7)</t>
  </si>
  <si>
    <t>ESCOLA</t>
  </si>
  <si>
    <t>ESCOLA / Escola</t>
  </si>
  <si>
    <t>FINALÍS-SIMA</t>
  </si>
  <si>
    <t>Venc1</t>
  </si>
  <si>
    <t>Venc2</t>
  </si>
  <si>
    <t>Vencido1</t>
  </si>
  <si>
    <t>Vencido2</t>
  </si>
  <si>
    <t>Venc3</t>
  </si>
  <si>
    <t>Vencido3</t>
  </si>
  <si>
    <t>Vencido4</t>
  </si>
  <si>
    <t>MapaF1</t>
  </si>
  <si>
    <t>MapaF2</t>
  </si>
  <si>
    <t>MapaF3</t>
  </si>
  <si>
    <t>MapaF4</t>
  </si>
  <si>
    <t>Vencido5</t>
  </si>
  <si>
    <t>FASE</t>
  </si>
  <si>
    <t>ESCALÃO</t>
  </si>
  <si>
    <t>GÉNERO</t>
  </si>
  <si>
    <t>DATA</t>
  </si>
  <si>
    <t>LOCAL</t>
  </si>
  <si>
    <t>Infantis A</t>
  </si>
  <si>
    <t>Infantis B</t>
  </si>
  <si>
    <t>Iniciados</t>
  </si>
  <si>
    <t>Juvenis</t>
  </si>
  <si>
    <t>CLDE</t>
  </si>
  <si>
    <t>Regional</t>
  </si>
  <si>
    <t>Nacional</t>
  </si>
  <si>
    <t>Campeonato Nacional</t>
  </si>
  <si>
    <t>Ténis de Mesa</t>
  </si>
  <si>
    <t>Campeonato CLDE</t>
  </si>
  <si>
    <t>Campeonato Regional</t>
  </si>
  <si>
    <t>Iniciado</t>
  </si>
  <si>
    <t>Infantil A</t>
  </si>
  <si>
    <t>Infantil B</t>
  </si>
  <si>
    <t>Juvenil</t>
  </si>
  <si>
    <t>Inserir resultados dos jogos nas colunas E 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</si>
</sst>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color indexed="5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16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4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3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Fill="1" applyBorder="1"/>
    <xf numFmtId="0" fontId="5" fillId="5" borderId="0" xfId="0" applyFont="1" applyFill="1" applyAlignment="1" applyProtection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12" fillId="1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7" fillId="0" borderId="0" xfId="1" applyFont="1"/>
    <xf numFmtId="0" fontId="17" fillId="0" borderId="0" xfId="1" applyFont="1" applyAlignment="1">
      <alignment wrapText="1"/>
    </xf>
    <xf numFmtId="0" fontId="17" fillId="0" borderId="24" xfId="1" applyFont="1" applyBorder="1" applyAlignment="1">
      <alignment horizontal="center"/>
    </xf>
    <xf numFmtId="0" fontId="16" fillId="0" borderId="26" xfId="1" applyFont="1" applyBorder="1" applyAlignment="1">
      <alignment vertical="center" wrapText="1"/>
    </xf>
    <xf numFmtId="0" fontId="17" fillId="0" borderId="24" xfId="1" applyFont="1" applyBorder="1"/>
    <xf numFmtId="0" fontId="17" fillId="0" borderId="24" xfId="1" applyFont="1" applyBorder="1" applyAlignment="1">
      <alignment horizontal="center" wrapText="1"/>
    </xf>
    <xf numFmtId="0" fontId="17" fillId="0" borderId="0" xfId="1" quotePrefix="1" applyFont="1"/>
    <xf numFmtId="0" fontId="11" fillId="0" borderId="0" xfId="1" applyFont="1"/>
    <xf numFmtId="0" fontId="11" fillId="0" borderId="0" xfId="1" applyFont="1" applyAlignment="1">
      <alignment wrapText="1"/>
    </xf>
    <xf numFmtId="0" fontId="15" fillId="0" borderId="0" xfId="1" applyFont="1"/>
    <xf numFmtId="0" fontId="16" fillId="0" borderId="0" xfId="1" applyFont="1"/>
    <xf numFmtId="0" fontId="18" fillId="0" borderId="0" xfId="1" applyFont="1"/>
    <xf numFmtId="0" fontId="23" fillId="0" borderId="0" xfId="1" applyFont="1"/>
    <xf numFmtId="0" fontId="21" fillId="0" borderId="0" xfId="1" applyFont="1"/>
    <xf numFmtId="0" fontId="17" fillId="0" borderId="24" xfId="1" applyFont="1" applyBorder="1" applyAlignment="1">
      <alignment horizontal="center"/>
    </xf>
    <xf numFmtId="0" fontId="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2" fillId="0" borderId="0" xfId="0" applyFont="1"/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/>
    <xf numFmtId="0" fontId="34" fillId="0" borderId="53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44" xfId="0" applyFill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40" xfId="0" applyFill="1" applyBorder="1" applyAlignment="1" applyProtection="1">
      <alignment horizontal="left" indent="1"/>
      <protection locked="0"/>
    </xf>
    <xf numFmtId="0" fontId="0" fillId="0" borderId="48" xfId="0" applyBorder="1" applyAlignment="1" applyProtection="1">
      <alignment horizontal="left" indent="1"/>
      <protection locked="0"/>
    </xf>
    <xf numFmtId="0" fontId="0" fillId="0" borderId="41" xfId="0" applyBorder="1" applyAlignment="1" applyProtection="1">
      <alignment horizontal="left" indent="1"/>
      <protection locked="0"/>
    </xf>
    <xf numFmtId="0" fontId="0" fillId="0" borderId="42" xfId="0" applyFill="1" applyBorder="1" applyAlignment="1" applyProtection="1">
      <alignment horizontal="left" indent="1"/>
      <protection locked="0"/>
    </xf>
    <xf numFmtId="0" fontId="36" fillId="0" borderId="0" xfId="0" applyFont="1" applyAlignment="1">
      <alignment horizontal="center"/>
    </xf>
    <xf numFmtId="0" fontId="36" fillId="0" borderId="19" xfId="0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9" fillId="0" borderId="0" xfId="0" applyFont="1" applyAlignment="1"/>
    <xf numFmtId="0" fontId="3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/>
    <xf numFmtId="0" fontId="0" fillId="0" borderId="18" xfId="0" applyFont="1" applyBorder="1" applyAlignment="1">
      <alignment horizontal="center"/>
    </xf>
    <xf numFmtId="0" fontId="38" fillId="0" borderId="18" xfId="0" quotePrefix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/>
    <xf numFmtId="0" fontId="0" fillId="0" borderId="18" xfId="0" applyFont="1" applyBorder="1"/>
    <xf numFmtId="0" fontId="0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/>
    <xf numFmtId="0" fontId="39" fillId="0" borderId="18" xfId="0" quotePrefix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/>
    <xf numFmtId="0" fontId="38" fillId="0" borderId="0" xfId="0" applyFont="1"/>
    <xf numFmtId="0" fontId="12" fillId="0" borderId="0" xfId="0" applyFont="1" applyBorder="1" applyAlignment="1">
      <alignment horizontal="center"/>
    </xf>
    <xf numFmtId="0" fontId="0" fillId="0" borderId="19" xfId="0" applyFont="1" applyBorder="1"/>
    <xf numFmtId="0" fontId="38" fillId="0" borderId="0" xfId="0" applyFont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8" fillId="0" borderId="57" xfId="0" applyFont="1" applyBorder="1" applyAlignment="1">
      <alignment horizontal="center" vertical="center"/>
    </xf>
    <xf numFmtId="0" fontId="37" fillId="0" borderId="0" xfId="0" quotePrefix="1" applyFont="1" applyBorder="1" applyAlignment="1">
      <alignment horizontal="center" vertical="center"/>
    </xf>
    <xf numFmtId="0" fontId="37" fillId="0" borderId="18" xfId="0" quotePrefix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quotePrefix="1" applyFont="1" applyBorder="1" applyAlignment="1">
      <alignment horizontal="center"/>
    </xf>
    <xf numFmtId="0" fontId="38" fillId="0" borderId="0" xfId="0" quotePrefix="1" applyFont="1" applyAlignment="1">
      <alignment horizontal="center" vertical="center"/>
    </xf>
    <xf numFmtId="0" fontId="38" fillId="0" borderId="0" xfId="0" quotePrefix="1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8" fillId="0" borderId="16" xfId="0" quotePrefix="1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38" fillId="0" borderId="0" xfId="0" quotePrefix="1" applyFont="1" applyAlignment="1">
      <alignment horizontal="center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17" fillId="0" borderId="0" xfId="0" applyFont="1"/>
    <xf numFmtId="0" fontId="37" fillId="0" borderId="0" xfId="0" quotePrefix="1" applyFont="1" applyAlignment="1">
      <alignment horizontal="center" vertical="center"/>
    </xf>
    <xf numFmtId="0" fontId="37" fillId="0" borderId="0" xfId="0" quotePrefix="1" applyFont="1" applyBorder="1" applyAlignment="1">
      <alignment horizontal="center"/>
    </xf>
    <xf numFmtId="0" fontId="38" fillId="0" borderId="0" xfId="0" applyFont="1" applyBorder="1"/>
    <xf numFmtId="0" fontId="36" fillId="0" borderId="15" xfId="0" applyFont="1" applyBorder="1" applyAlignment="1">
      <alignment horizontal="center" vertical="center"/>
    </xf>
    <xf numFmtId="0" fontId="36" fillId="16" borderId="0" xfId="0" applyFont="1" applyFill="1" applyAlignment="1">
      <alignment horizontal="center"/>
    </xf>
    <xf numFmtId="0" fontId="38" fillId="15" borderId="7" xfId="0" applyFont="1" applyFill="1" applyBorder="1" applyAlignment="1">
      <alignment horizontal="center" vertical="top"/>
    </xf>
    <xf numFmtId="0" fontId="38" fillId="15" borderId="0" xfId="0" applyFont="1" applyFill="1" applyAlignment="1">
      <alignment horizontal="center" vertical="top"/>
    </xf>
    <xf numFmtId="0" fontId="40" fillId="16" borderId="1" xfId="0" applyFont="1" applyFill="1" applyBorder="1" applyAlignment="1">
      <alignment horizontal="center"/>
    </xf>
    <xf numFmtId="0" fontId="38" fillId="15" borderId="0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36" fillId="16" borderId="0" xfId="0" applyFont="1" applyFill="1" applyBorder="1" applyAlignment="1">
      <alignment horizontal="center"/>
    </xf>
    <xf numFmtId="0" fontId="38" fillId="15" borderId="15" xfId="0" applyFont="1" applyFill="1" applyBorder="1" applyAlignment="1">
      <alignment horizontal="center" vertical="top"/>
    </xf>
    <xf numFmtId="0" fontId="38" fillId="15" borderId="55" xfId="0" applyFont="1" applyFill="1" applyBorder="1" applyAlignment="1">
      <alignment horizontal="center" vertical="top"/>
    </xf>
    <xf numFmtId="0" fontId="36" fillId="16" borderId="37" xfId="0" applyFont="1" applyFill="1" applyBorder="1" applyAlignment="1">
      <alignment horizontal="center"/>
    </xf>
    <xf numFmtId="0" fontId="0" fillId="0" borderId="16" xfId="0" applyFont="1" applyBorder="1"/>
    <xf numFmtId="0" fontId="38" fillId="0" borderId="37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quotePrefix="1" applyFont="1" applyBorder="1" applyAlignment="1">
      <alignment horizontal="center" vertical="center"/>
    </xf>
    <xf numFmtId="0" fontId="37" fillId="0" borderId="15" xfId="0" quotePrefix="1" applyFont="1" applyBorder="1" applyAlignment="1">
      <alignment horizontal="center" vertical="center"/>
    </xf>
    <xf numFmtId="0" fontId="41" fillId="0" borderId="0" xfId="0" applyFont="1"/>
    <xf numFmtId="0" fontId="41" fillId="0" borderId="0" xfId="0" applyFont="1" applyBorder="1"/>
    <xf numFmtId="0" fontId="42" fillId="0" borderId="0" xfId="0" applyFont="1" applyAlignment="1"/>
    <xf numFmtId="0" fontId="41" fillId="0" borderId="54" xfId="0" applyFont="1" applyBorder="1" applyAlignment="1">
      <alignment horizontal="right"/>
    </xf>
    <xf numFmtId="0" fontId="41" fillId="0" borderId="54" xfId="0" applyFont="1" applyBorder="1"/>
    <xf numFmtId="0" fontId="41" fillId="0" borderId="19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/>
    <xf numFmtId="0" fontId="38" fillId="0" borderId="18" xfId="0" applyFont="1" applyBorder="1" applyAlignment="1">
      <alignment horizontal="center" vertical="center"/>
    </xf>
    <xf numFmtId="0" fontId="40" fillId="16" borderId="19" xfId="0" applyFont="1" applyFill="1" applyBorder="1" applyAlignment="1">
      <alignment horizontal="center"/>
    </xf>
    <xf numFmtId="0" fontId="37" fillId="0" borderId="16" xfId="0" quotePrefix="1" applyFont="1" applyBorder="1" applyAlignment="1">
      <alignment horizontal="center"/>
    </xf>
    <xf numFmtId="0" fontId="37" fillId="0" borderId="16" xfId="0" quotePrefix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36" fillId="1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1" fillId="17" borderId="62" xfId="0" applyFont="1" applyFill="1" applyBorder="1" applyAlignment="1" applyProtection="1">
      <alignment horizontal="center"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0" fontId="4" fillId="18" borderId="62" xfId="0" applyFont="1" applyFill="1" applyBorder="1" applyAlignment="1" applyProtection="1">
      <alignment horizontal="center" vertical="center"/>
      <protection locked="0"/>
    </xf>
    <xf numFmtId="22" fontId="20" fillId="19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15" borderId="62" xfId="0" applyFont="1" applyFill="1" applyBorder="1" applyAlignment="1" applyProtection="1">
      <alignment horizontal="center"/>
      <protection locked="0"/>
    </xf>
    <xf numFmtId="0" fontId="28" fillId="0" borderId="0" xfId="0" applyFont="1"/>
    <xf numFmtId="0" fontId="0" fillId="13" borderId="0" xfId="0" applyFill="1" applyProtection="1">
      <protection locked="0"/>
    </xf>
    <xf numFmtId="0" fontId="20" fillId="15" borderId="19" xfId="0" applyFont="1" applyFill="1" applyBorder="1" applyAlignment="1">
      <alignment horizontal="left"/>
    </xf>
    <xf numFmtId="0" fontId="20" fillId="15" borderId="21" xfId="0" applyFont="1" applyFill="1" applyBorder="1" applyAlignment="1">
      <alignment horizontal="left"/>
    </xf>
    <xf numFmtId="0" fontId="24" fillId="15" borderId="21" xfId="0" applyFont="1" applyFill="1" applyBorder="1" applyAlignment="1">
      <alignment horizontal="left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6" fillId="5" borderId="63" xfId="0" applyFont="1" applyFill="1" applyBorder="1" applyAlignment="1" applyProtection="1">
      <alignment horizontal="center" vertical="center"/>
      <protection locked="0"/>
    </xf>
    <xf numFmtId="0" fontId="6" fillId="5" borderId="64" xfId="0" applyFont="1" applyFill="1" applyBorder="1" applyAlignment="1" applyProtection="1">
      <alignment horizontal="center" vertical="center"/>
      <protection locked="0"/>
    </xf>
    <xf numFmtId="0" fontId="6" fillId="5" borderId="65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26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0" fillId="15" borderId="19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0" fillId="15" borderId="21" xfId="0" applyFont="1" applyFill="1" applyBorder="1" applyAlignment="1" applyProtection="1">
      <alignment horizontal="left"/>
    </xf>
    <xf numFmtId="0" fontId="24" fillId="15" borderId="21" xfId="0" applyFont="1" applyFill="1" applyBorder="1" applyAlignment="1" applyProtection="1">
      <alignment horizontal="left"/>
    </xf>
    <xf numFmtId="0" fontId="24" fillId="0" borderId="0" xfId="0" applyFont="1" applyBorder="1" applyAlignme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20" fillId="0" borderId="0" xfId="0" applyFont="1" applyProtection="1"/>
    <xf numFmtId="0" fontId="0" fillId="13" borderId="29" xfId="0" applyFont="1" applyFill="1" applyBorder="1" applyProtection="1"/>
    <xf numFmtId="0" fontId="0" fillId="13" borderId="30" xfId="0" applyFont="1" applyFill="1" applyBorder="1" applyProtection="1"/>
    <xf numFmtId="0" fontId="0" fillId="0" borderId="29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49" fontId="11" fillId="0" borderId="0" xfId="0" applyNumberFormat="1" applyFont="1" applyAlignment="1" applyProtection="1">
      <alignment vertical="center"/>
    </xf>
    <xf numFmtId="0" fontId="12" fillId="0" borderId="28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3" fillId="0" borderId="37" xfId="0" applyNumberFormat="1" applyFont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horizontal="center" vertical="center"/>
    </xf>
    <xf numFmtId="0" fontId="13" fillId="0" borderId="38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3" fillId="0" borderId="4" xfId="0" applyNumberFormat="1" applyFont="1" applyBorder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center" vertical="center"/>
    </xf>
    <xf numFmtId="0" fontId="9" fillId="8" borderId="0" xfId="0" applyFont="1" applyFill="1" applyAlignment="1" applyProtection="1">
      <alignment horizontal="center" vertical="center"/>
    </xf>
    <xf numFmtId="0" fontId="10" fillId="9" borderId="0" xfId="0" applyFont="1" applyFill="1" applyAlignment="1" applyProtection="1">
      <alignment horizontal="center" vertical="center"/>
    </xf>
    <xf numFmtId="0" fontId="11" fillId="10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2" fillId="11" borderId="0" xfId="0" applyFont="1" applyFill="1" applyAlignment="1" applyProtection="1">
      <alignment horizontal="center" vertical="center"/>
    </xf>
    <xf numFmtId="0" fontId="11" fillId="12" borderId="0" xfId="0" applyFont="1" applyFill="1" applyAlignment="1" applyProtection="1">
      <alignment vertical="center"/>
    </xf>
    <xf numFmtId="0" fontId="43" fillId="0" borderId="0" xfId="0" applyFont="1" applyProtection="1"/>
    <xf numFmtId="0" fontId="25" fillId="0" borderId="0" xfId="0" applyFont="1" applyProtection="1"/>
    <xf numFmtId="16" fontId="12" fillId="0" borderId="0" xfId="0" quotePrefix="1" applyNumberFormat="1" applyFont="1" applyAlignment="1" applyProtection="1">
      <alignment horizontal="center"/>
    </xf>
    <xf numFmtId="0" fontId="12" fillId="0" borderId="0" xfId="0" quotePrefix="1" applyFont="1" applyAlignment="1" applyProtection="1">
      <alignment horizontal="center"/>
    </xf>
    <xf numFmtId="0" fontId="12" fillId="10" borderId="0" xfId="0" applyFont="1" applyFill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12" fillId="0" borderId="16" xfId="0" applyFont="1" applyBorder="1" applyProtection="1"/>
    <xf numFmtId="0" fontId="0" fillId="13" borderId="0" xfId="0" applyFont="1" applyFill="1" applyBorder="1" applyAlignment="1" applyProtection="1">
      <alignment horizontal="center" vertical="center"/>
      <protection locked="0"/>
    </xf>
    <xf numFmtId="0" fontId="0" fillId="13" borderId="1" xfId="0" applyFont="1" applyFill="1" applyBorder="1" applyAlignment="1" applyProtection="1">
      <alignment horizontal="center" vertical="center"/>
      <protection locked="0"/>
    </xf>
    <xf numFmtId="0" fontId="0" fillId="13" borderId="0" xfId="0" applyFont="1" applyFill="1" applyAlignment="1" applyProtection="1">
      <alignment horizontal="center" vertical="center"/>
      <protection locked="0"/>
    </xf>
    <xf numFmtId="0" fontId="38" fillId="13" borderId="0" xfId="0" applyFont="1" applyFill="1" applyBorder="1" applyAlignment="1" applyProtection="1">
      <alignment horizontal="center" vertical="center"/>
      <protection locked="0"/>
    </xf>
    <xf numFmtId="0" fontId="0" fillId="13" borderId="19" xfId="0" applyFont="1" applyFill="1" applyBorder="1" applyAlignment="1" applyProtection="1">
      <alignment horizontal="center" vertical="center"/>
      <protection locked="0"/>
    </xf>
    <xf numFmtId="0" fontId="38" fillId="13" borderId="19" xfId="0" applyFont="1" applyFill="1" applyBorder="1" applyAlignment="1" applyProtection="1">
      <alignment horizontal="center" vertical="center"/>
      <protection locked="0"/>
    </xf>
    <xf numFmtId="0" fontId="38" fillId="13" borderId="37" xfId="0" applyFont="1" applyFill="1" applyBorder="1" applyAlignment="1" applyProtection="1">
      <alignment horizontal="center" vertical="center"/>
      <protection locked="0"/>
    </xf>
    <xf numFmtId="0" fontId="0" fillId="15" borderId="19" xfId="0" applyFont="1" applyFill="1" applyBorder="1"/>
    <xf numFmtId="0" fontId="0" fillId="15" borderId="21" xfId="0" applyFont="1" applyFill="1" applyBorder="1" applyAlignment="1">
      <alignment horizontal="center"/>
    </xf>
    <xf numFmtId="0" fontId="0" fillId="15" borderId="21" xfId="0" applyFont="1" applyFill="1" applyBorder="1"/>
    <xf numFmtId="22" fontId="0" fillId="0" borderId="0" xfId="0" applyNumberFormat="1" applyFont="1"/>
    <xf numFmtId="0" fontId="27" fillId="0" borderId="0" xfId="0" applyFont="1" applyAlignment="1" applyProtection="1">
      <alignment horizontal="center"/>
      <protection locked="0"/>
    </xf>
    <xf numFmtId="0" fontId="35" fillId="20" borderId="0" xfId="0" applyFont="1" applyFill="1" applyAlignment="1">
      <alignment horizontal="center"/>
    </xf>
    <xf numFmtId="0" fontId="26" fillId="0" borderId="0" xfId="0" applyFont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3" xfId="0" applyFont="1" applyBorder="1" applyAlignment="1" applyProtection="1"/>
    <xf numFmtId="0" fontId="12" fillId="0" borderId="13" xfId="0" applyFont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14" borderId="20" xfId="0" applyFont="1" applyFill="1" applyBorder="1" applyAlignment="1" applyProtection="1">
      <alignment horizontal="center"/>
    </xf>
    <xf numFmtId="0" fontId="12" fillId="14" borderId="36" xfId="0" applyFont="1" applyFill="1" applyBorder="1" applyAlignment="1" applyProtection="1">
      <alignment horizontal="center"/>
    </xf>
    <xf numFmtId="0" fontId="12" fillId="14" borderId="12" xfId="0" applyFont="1" applyFill="1" applyBorder="1" applyAlignment="1" applyProtection="1">
      <alignment horizontal="center"/>
    </xf>
    <xf numFmtId="0" fontId="12" fillId="14" borderId="13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0" fontId="11" fillId="0" borderId="31" xfId="0" applyFont="1" applyBorder="1" applyAlignment="1" applyProtection="1">
      <alignment horizontal="center" textRotation="90"/>
    </xf>
    <xf numFmtId="0" fontId="11" fillId="0" borderId="32" xfId="0" applyFont="1" applyBorder="1" applyAlignment="1" applyProtection="1">
      <alignment horizontal="center" textRotation="90"/>
    </xf>
    <xf numFmtId="0" fontId="11" fillId="13" borderId="22" xfId="0" applyFont="1" applyFill="1" applyBorder="1" applyAlignment="1" applyProtection="1">
      <alignment horizontal="center" textRotation="90"/>
    </xf>
    <xf numFmtId="0" fontId="11" fillId="13" borderId="5" xfId="0" applyFont="1" applyFill="1" applyBorder="1" applyAlignment="1" applyProtection="1">
      <alignment horizontal="center" textRotation="90"/>
    </xf>
    <xf numFmtId="0" fontId="11" fillId="13" borderId="11" xfId="0" applyFont="1" applyFill="1" applyBorder="1" applyAlignment="1" applyProtection="1">
      <alignment horizontal="center" textRotation="90"/>
    </xf>
    <xf numFmtId="0" fontId="11" fillId="13" borderId="12" xfId="0" applyFont="1" applyFill="1" applyBorder="1" applyAlignment="1" applyProtection="1">
      <alignment horizontal="center" textRotation="90"/>
    </xf>
    <xf numFmtId="0" fontId="0" fillId="0" borderId="34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13" borderId="35" xfId="0" applyFont="1" applyFill="1" applyBorder="1" applyAlignment="1" applyProtection="1">
      <alignment horizontal="center" vertical="center"/>
    </xf>
    <xf numFmtId="0" fontId="0" fillId="13" borderId="32" xfId="0" applyFont="1" applyFill="1" applyBorder="1" applyAlignment="1" applyProtection="1">
      <alignment horizontal="center" vertical="center"/>
    </xf>
    <xf numFmtId="0" fontId="0" fillId="13" borderId="20" xfId="0" applyFont="1" applyFill="1" applyBorder="1" applyAlignment="1" applyProtection="1">
      <alignment horizontal="center" vertical="center"/>
    </xf>
    <xf numFmtId="0" fontId="0" fillId="13" borderId="14" xfId="0" applyFont="1" applyFill="1" applyBorder="1" applyAlignment="1" applyProtection="1">
      <alignment horizontal="center" vertical="center"/>
    </xf>
    <xf numFmtId="0" fontId="0" fillId="13" borderId="35" xfId="0" applyFont="1" applyFill="1" applyBorder="1" applyAlignment="1" applyProtection="1">
      <alignment vertical="center"/>
    </xf>
    <xf numFmtId="0" fontId="0" fillId="13" borderId="32" xfId="0" applyFont="1" applyFill="1" applyBorder="1" applyAlignment="1" applyProtection="1">
      <alignment vertical="center"/>
    </xf>
    <xf numFmtId="0" fontId="0" fillId="13" borderId="36" xfId="0" applyFont="1" applyFill="1" applyBorder="1" applyAlignment="1" applyProtection="1">
      <alignment vertical="center" shrinkToFit="1"/>
    </xf>
    <xf numFmtId="0" fontId="0" fillId="13" borderId="12" xfId="0" applyFont="1" applyFill="1" applyBorder="1" applyAlignment="1" applyProtection="1">
      <alignment vertical="center" shrinkToFit="1"/>
    </xf>
    <xf numFmtId="0" fontId="0" fillId="0" borderId="11" xfId="0" applyFont="1" applyBorder="1" applyAlignment="1" applyProtection="1">
      <alignment vertical="center" shrinkToFit="1"/>
    </xf>
    <xf numFmtId="0" fontId="0" fillId="0" borderId="36" xfId="0" applyFont="1" applyBorder="1" applyAlignment="1" applyProtection="1">
      <alignment vertical="center" shrinkToFit="1"/>
    </xf>
    <xf numFmtId="0" fontId="12" fillId="14" borderId="58" xfId="0" applyFont="1" applyFill="1" applyBorder="1" applyAlignment="1" applyProtection="1">
      <alignment horizontal="center"/>
    </xf>
    <xf numFmtId="0" fontId="12" fillId="14" borderId="59" xfId="0" applyFont="1" applyFill="1" applyBorder="1" applyAlignment="1" applyProtection="1">
      <alignment horizontal="center"/>
    </xf>
    <xf numFmtId="0" fontId="0" fillId="0" borderId="35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horizontal="center" textRotation="90"/>
    </xf>
    <xf numFmtId="0" fontId="11" fillId="0" borderId="5" xfId="0" applyFont="1" applyBorder="1" applyAlignment="1" applyProtection="1">
      <alignment horizontal="center" textRotation="90"/>
    </xf>
    <xf numFmtId="0" fontId="0" fillId="0" borderId="35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12" fillId="14" borderId="31" xfId="0" applyFont="1" applyFill="1" applyBorder="1" applyAlignment="1" applyProtection="1">
      <alignment horizontal="center"/>
    </xf>
    <xf numFmtId="0" fontId="12" fillId="14" borderId="35" xfId="0" applyFont="1" applyFill="1" applyBorder="1" applyAlignment="1" applyProtection="1">
      <alignment horizontal="center"/>
    </xf>
    <xf numFmtId="0" fontId="21" fillId="0" borderId="58" xfId="0" applyFont="1" applyBorder="1" applyAlignment="1" applyProtection="1">
      <alignment horizontal="center" vertical="center"/>
    </xf>
    <xf numFmtId="0" fontId="21" fillId="0" borderId="59" xfId="0" applyFont="1" applyBorder="1" applyAlignment="1" applyProtection="1">
      <alignment horizontal="center" vertical="center"/>
    </xf>
    <xf numFmtId="0" fontId="28" fillId="0" borderId="61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14" borderId="8" xfId="0" applyFont="1" applyFill="1" applyBorder="1" applyAlignment="1" applyProtection="1">
      <alignment horizontal="center"/>
    </xf>
    <xf numFmtId="0" fontId="12" fillId="14" borderId="3" xfId="0" applyFont="1" applyFill="1" applyBorder="1" applyAlignment="1" applyProtection="1">
      <alignment horizontal="center"/>
    </xf>
    <xf numFmtId="0" fontId="21" fillId="0" borderId="60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/>
    </xf>
    <xf numFmtId="0" fontId="17" fillId="0" borderId="24" xfId="1" applyFont="1" applyBorder="1" applyAlignment="1">
      <alignment horizontal="center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center"/>
    </xf>
    <xf numFmtId="0" fontId="22" fillId="0" borderId="26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7" fillId="0" borderId="27" xfId="1" applyFont="1" applyBorder="1" applyAlignment="1">
      <alignment horizontal="center"/>
    </xf>
    <xf numFmtId="0" fontId="17" fillId="0" borderId="25" xfId="1" applyFont="1" applyBorder="1" applyAlignment="1">
      <alignment horizontal="center" wrapText="1"/>
    </xf>
    <xf numFmtId="0" fontId="17" fillId="0" borderId="26" xfId="1" applyFont="1" applyBorder="1" applyAlignment="1">
      <alignment horizontal="center" wrapText="1"/>
    </xf>
    <xf numFmtId="0" fontId="17" fillId="0" borderId="27" xfId="1" applyFont="1" applyBorder="1" applyAlignment="1">
      <alignment horizontal="center" wrapText="1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20" fontId="16" fillId="0" borderId="25" xfId="1" applyNumberFormat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24" xfId="1" applyFont="1" applyBorder="1" applyAlignment="1">
      <alignment horizontal="left"/>
    </xf>
    <xf numFmtId="0" fontId="16" fillId="0" borderId="25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16" fillId="0" borderId="27" xfId="1" applyFont="1" applyBorder="1" applyAlignment="1">
      <alignment horizontal="center"/>
    </xf>
    <xf numFmtId="49" fontId="16" fillId="0" borderId="25" xfId="1" applyNumberFormat="1" applyFont="1" applyBorder="1" applyAlignment="1">
      <alignment horizontal="center" vertical="center"/>
    </xf>
    <xf numFmtId="49" fontId="16" fillId="0" borderId="26" xfId="1" applyNumberFormat="1" applyFont="1" applyBorder="1" applyAlignment="1">
      <alignment horizontal="center" vertical="center"/>
    </xf>
    <xf numFmtId="49" fontId="16" fillId="0" borderId="27" xfId="1" applyNumberFormat="1" applyFont="1" applyBorder="1" applyAlignment="1">
      <alignment horizontal="center" vertical="center"/>
    </xf>
    <xf numFmtId="49" fontId="16" fillId="0" borderId="25" xfId="1" applyNumberFormat="1" applyFont="1" applyBorder="1" applyAlignment="1">
      <alignment horizontal="center" vertical="center" wrapText="1"/>
    </xf>
    <xf numFmtId="49" fontId="16" fillId="0" borderId="26" xfId="1" applyNumberFormat="1" applyFont="1" applyBorder="1" applyAlignment="1">
      <alignment horizontal="center" vertical="center" wrapText="1"/>
    </xf>
    <xf numFmtId="49" fontId="16" fillId="0" borderId="27" xfId="1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emf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1143000</xdr:colOff>
      <xdr:row>6</xdr:row>
      <xdr:rowOff>1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FE21EAB7-8581-4CF4-B8FB-AB056F52F342}"/>
            </a:ext>
          </a:extLst>
        </xdr:cNvPr>
        <xdr:cNvGrpSpPr/>
      </xdr:nvGrpSpPr>
      <xdr:grpSpPr>
        <a:xfrm>
          <a:off x="0" y="1"/>
          <a:ext cx="5734050" cy="1743075"/>
          <a:chOff x="1308400" y="1129066"/>
          <a:chExt cx="5733598" cy="1690334"/>
        </a:xfrm>
      </xdr:grpSpPr>
      <xdr:pic>
        <xdr:nvPicPr>
          <xdr:cNvPr id="4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FEB78195-A732-4C21-8C8E-BD63E5E11BD4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 descr="Direção-Geral dos Estabelecimentos Escolares - ePortugal.gov.pt">
            <a:extLst>
              <a:ext uri="{FF2B5EF4-FFF2-40B4-BE49-F238E27FC236}">
                <a16:creationId xmlns:a16="http://schemas.microsoft.com/office/drawing/2014/main" id="{BCB2751F-D849-4C7A-9215-D84F1CB0F7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69805E4C-4912-492C-80C4-25991634D5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32453C6B-E572-4A6F-9587-75821C8E9B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5B661823-CA5F-4B02-AEBA-461FB646C6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257174</xdr:colOff>
      <xdr:row>0</xdr:row>
      <xdr:rowOff>0</xdr:rowOff>
    </xdr:from>
    <xdr:to>
      <xdr:col>47</xdr:col>
      <xdr:colOff>819149</xdr:colOff>
      <xdr:row>5</xdr:row>
      <xdr:rowOff>19050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13BF11A6-24FD-45C3-A8FB-A7BE2C1DED05}"/>
            </a:ext>
          </a:extLst>
        </xdr:cNvPr>
        <xdr:cNvGrpSpPr/>
      </xdr:nvGrpSpPr>
      <xdr:grpSpPr>
        <a:xfrm>
          <a:off x="3543299" y="0"/>
          <a:ext cx="7572375" cy="1819275"/>
          <a:chOff x="1308400" y="1129066"/>
          <a:chExt cx="5733598" cy="1690334"/>
        </a:xfrm>
      </xdr:grpSpPr>
      <xdr:pic>
        <xdr:nvPicPr>
          <xdr:cNvPr id="4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BB67BF0C-7CFE-4CDD-B270-ACC26286BABC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m 4" descr="Direção-Geral dos Estabelecimentos Escolares - ePortugal.gov.pt">
            <a:extLst>
              <a:ext uri="{FF2B5EF4-FFF2-40B4-BE49-F238E27FC236}">
                <a16:creationId xmlns:a16="http://schemas.microsoft.com/office/drawing/2014/main" id="{2D1EF084-D33B-4A56-8330-73A37F94E7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Imagem 5">
            <a:extLst>
              <a:ext uri="{FF2B5EF4-FFF2-40B4-BE49-F238E27FC236}">
                <a16:creationId xmlns:a16="http://schemas.microsoft.com/office/drawing/2014/main" id="{EC810365-204F-4DF7-BE72-2DD77559A2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610F263E-3812-4953-B3C1-1AAC919CDC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8E04DFCA-B851-494C-8CE5-9A594F46EF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54769</xdr:rowOff>
    </xdr:to>
    <xdr:sp macro="" textlink="">
      <xdr:nvSpPr>
        <xdr:cNvPr id="3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FD42FB3-EAE4-490E-B9D3-DA8B597E605D}"/>
            </a:ext>
          </a:extLst>
        </xdr:cNvPr>
        <xdr:cNvSpPr>
          <a:spLocks noChangeAspect="1" noChangeArrowheads="1"/>
        </xdr:cNvSpPr>
      </xdr:nvSpPr>
      <xdr:spPr bwMode="auto">
        <a:xfrm>
          <a:off x="40862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54767</xdr:rowOff>
    </xdr:to>
    <xdr:sp macro="" textlink="">
      <xdr:nvSpPr>
        <xdr:cNvPr id="4" name="AutoShape 3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32C51BA0-F494-4773-A821-C77D086E5231}"/>
            </a:ext>
          </a:extLst>
        </xdr:cNvPr>
        <xdr:cNvSpPr>
          <a:spLocks noChangeAspect="1" noChangeArrowheads="1"/>
        </xdr:cNvSpPr>
      </xdr:nvSpPr>
      <xdr:spPr bwMode="auto">
        <a:xfrm>
          <a:off x="408622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6AF32F39-4C29-47D8-AF28-F495AABC5522}"/>
            </a:ext>
          </a:extLst>
        </xdr:cNvPr>
        <xdr:cNvSpPr>
          <a:spLocks noChangeAspect="1" noChangeArrowheads="1"/>
        </xdr:cNvSpPr>
      </xdr:nvSpPr>
      <xdr:spPr bwMode="auto">
        <a:xfrm>
          <a:off x="5214938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102870</xdr:colOff>
      <xdr:row>16</xdr:row>
      <xdr:rowOff>139279</xdr:rowOff>
    </xdr:from>
    <xdr:ext cx="356235" cy="93726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EA4500F8-BDCB-49A0-8276-CB0345F3A5F1}"/>
            </a:ext>
          </a:extLst>
        </xdr:cNvPr>
        <xdr:cNvSpPr txBox="1">
          <a:spLocks noChangeArrowheads="1"/>
        </xdr:cNvSpPr>
      </xdr:nvSpPr>
      <xdr:spPr bwMode="auto">
        <a:xfrm>
          <a:off x="3531870" y="4721862"/>
          <a:ext cx="35623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- 4º CLASSIFICADO</a:t>
          </a:r>
        </a:p>
        <a:p>
          <a:pPr algn="ct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85144</xdr:colOff>
      <xdr:row>19</xdr:row>
      <xdr:rowOff>143719</xdr:rowOff>
    </xdr:from>
    <xdr:ext cx="356235" cy="97663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BA4BCB8E-20E9-4236-9BCB-30378C58B74F}"/>
            </a:ext>
          </a:extLst>
        </xdr:cNvPr>
        <xdr:cNvSpPr txBox="1">
          <a:spLocks noChangeArrowheads="1"/>
        </xdr:cNvSpPr>
      </xdr:nvSpPr>
      <xdr:spPr bwMode="auto">
        <a:xfrm>
          <a:off x="1799644" y="5456552"/>
          <a:ext cx="356235" cy="97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127006</xdr:colOff>
      <xdr:row>23</xdr:row>
      <xdr:rowOff>84665</xdr:rowOff>
    </xdr:from>
    <xdr:ext cx="254300" cy="829866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8A6E8E55-9332-4BC8-B8D4-91D72D61BC08}"/>
            </a:ext>
          </a:extLst>
        </xdr:cNvPr>
        <xdr:cNvSpPr txBox="1">
          <a:spLocks noChangeArrowheads="1"/>
        </xdr:cNvSpPr>
      </xdr:nvSpPr>
      <xdr:spPr bwMode="auto">
        <a:xfrm>
          <a:off x="127006" y="6371165"/>
          <a:ext cx="254300" cy="8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wrap="square" lIns="18288" tIns="22860" rIns="0" bIns="0" anchor="t" upright="1">
          <a:spAutoFit/>
        </a:bodyPr>
        <a:lstStyle/>
        <a:p>
          <a:pPr algn="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- 2º CLASSIFICADO</a:t>
          </a:r>
        </a:p>
      </xdr:txBody>
    </xdr:sp>
    <xdr:clientData/>
  </xdr:oneCellAnchor>
  <xdr:twoCellAnchor editAs="oneCell">
    <xdr:from>
      <xdr:col>18</xdr:col>
      <xdr:colOff>262194</xdr:colOff>
      <xdr:row>0</xdr:row>
      <xdr:rowOff>103239</xdr:rowOff>
    </xdr:from>
    <xdr:to>
      <xdr:col>18</xdr:col>
      <xdr:colOff>1071238</xdr:colOff>
      <xdr:row>1</xdr:row>
      <xdr:rowOff>571501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51522DB-2FD4-4F0C-AA1E-77C6872C3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861" y="103239"/>
          <a:ext cx="809044" cy="8492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211666</xdr:colOff>
      <xdr:row>0</xdr:row>
      <xdr:rowOff>95251</xdr:rowOff>
    </xdr:from>
    <xdr:to>
      <xdr:col>7</xdr:col>
      <xdr:colOff>169334</xdr:colOff>
      <xdr:row>1</xdr:row>
      <xdr:rowOff>595836</xdr:rowOff>
    </xdr:to>
    <xdr:pic>
      <xdr:nvPicPr>
        <xdr:cNvPr id="14" name="Picture 8" descr="Direção-Geral da Educação">
          <a:extLst>
            <a:ext uri="{FF2B5EF4-FFF2-40B4-BE49-F238E27FC236}">
              <a16:creationId xmlns:a16="http://schemas.microsoft.com/office/drawing/2014/main" id="{51EE6DC2-FE5C-49C3-BDB1-2E3735D4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95251"/>
          <a:ext cx="6604001" cy="881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2099</xdr:colOff>
      <xdr:row>0</xdr:row>
      <xdr:rowOff>0</xdr:rowOff>
    </xdr:from>
    <xdr:to>
      <xdr:col>12</xdr:col>
      <xdr:colOff>1497887</xdr:colOff>
      <xdr:row>1</xdr:row>
      <xdr:rowOff>582083</xdr:rowOff>
    </xdr:to>
    <xdr:pic>
      <xdr:nvPicPr>
        <xdr:cNvPr id="18" name="Imagem 17" descr="Direção-Geral dos Estabelecimentos Escolares - ePortugal.gov.pt">
          <a:extLst>
            <a:ext uri="{FF2B5EF4-FFF2-40B4-BE49-F238E27FC236}">
              <a16:creationId xmlns:a16="http://schemas.microsoft.com/office/drawing/2014/main" id="{4B9F3D81-454E-48FF-B8E4-4F6F62CC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62932" y="0"/>
          <a:ext cx="2046122" cy="9630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1330652</xdr:colOff>
      <xdr:row>0</xdr:row>
      <xdr:rowOff>1</xdr:rowOff>
    </xdr:from>
    <xdr:to>
      <xdr:col>16</xdr:col>
      <xdr:colOff>429429</xdr:colOff>
      <xdr:row>1</xdr:row>
      <xdr:rowOff>552669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1EA2ACEB-AB5E-49DC-A408-9E0C94A5A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56319" y="1"/>
          <a:ext cx="813277" cy="933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117475</xdr:colOff>
      <xdr:row>5</xdr:row>
      <xdr:rowOff>9526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0100B77-906C-4BEB-8634-C6E5B828868A}"/>
            </a:ext>
          </a:extLst>
        </xdr:cNvPr>
        <xdr:cNvGrpSpPr/>
      </xdr:nvGrpSpPr>
      <xdr:grpSpPr>
        <a:xfrm>
          <a:off x="0" y="1"/>
          <a:ext cx="6054725" cy="1708150"/>
          <a:chOff x="1308400" y="1129066"/>
          <a:chExt cx="5733598" cy="1690334"/>
        </a:xfrm>
      </xdr:grpSpPr>
      <xdr:pic>
        <xdr:nvPicPr>
          <xdr:cNvPr id="5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531AED4A-FF03-437C-A97F-30E2B5BE100C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 descr="Direção-Geral dos Estabelecimentos Escolares - ePortugal.gov.pt">
            <a:extLst>
              <a:ext uri="{FF2B5EF4-FFF2-40B4-BE49-F238E27FC236}">
                <a16:creationId xmlns:a16="http://schemas.microsoft.com/office/drawing/2014/main" id="{816B244F-1CF5-48EC-8B2C-75CC0BE40A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C267B906-A4E9-4628-8BA2-DD28CDDBBA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5595FC84-1639-4AF9-981C-8C0B63D62B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F58A29D5-D9EB-404F-89D1-E1715ED807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37"/>
  <sheetViews>
    <sheetView topLeftCell="A9" workbookViewId="0">
      <selection activeCell="B21" sqref="B21:D36"/>
    </sheetView>
  </sheetViews>
  <sheetFormatPr defaultRowHeight="15" x14ac:dyDescent="0.25"/>
  <cols>
    <col min="2" max="2" width="32" customWidth="1"/>
    <col min="3" max="3" width="27.7109375" customWidth="1"/>
    <col min="4" max="4" width="18" customWidth="1"/>
    <col min="11" max="13" width="0" hidden="1" customWidth="1"/>
  </cols>
  <sheetData>
    <row r="6" spans="1:13" ht="62.25" customHeight="1" x14ac:dyDescent="0.25"/>
    <row r="7" spans="1:13" ht="26.25" x14ac:dyDescent="0.4">
      <c r="A7" s="261" t="s">
        <v>103</v>
      </c>
      <c r="B7" s="261"/>
      <c r="C7" s="261"/>
      <c r="D7" s="261"/>
    </row>
    <row r="8" spans="1:13" ht="21" x14ac:dyDescent="0.35">
      <c r="A8" s="262" t="s">
        <v>104</v>
      </c>
      <c r="B8" s="262"/>
      <c r="C8" s="262"/>
      <c r="D8" s="262"/>
      <c r="K8" t="s">
        <v>105</v>
      </c>
    </row>
    <row r="9" spans="1:13" x14ac:dyDescent="0.25">
      <c r="K9" t="s">
        <v>106</v>
      </c>
    </row>
    <row r="10" spans="1:13" ht="15.75" x14ac:dyDescent="0.25">
      <c r="A10" s="3" t="s">
        <v>34</v>
      </c>
      <c r="B10" s="175" t="s">
        <v>100</v>
      </c>
      <c r="K10" t="s">
        <v>103</v>
      </c>
    </row>
    <row r="12" spans="1:13" ht="15.75" x14ac:dyDescent="0.25">
      <c r="A12" s="3" t="s">
        <v>35</v>
      </c>
      <c r="B12" s="175" t="s">
        <v>107</v>
      </c>
    </row>
    <row r="13" spans="1:13" x14ac:dyDescent="0.25">
      <c r="K13" t="s">
        <v>100</v>
      </c>
      <c r="L13" t="s">
        <v>108</v>
      </c>
      <c r="M13" t="s">
        <v>20</v>
      </c>
    </row>
    <row r="14" spans="1:13" ht="15.75" x14ac:dyDescent="0.25">
      <c r="A14" s="3" t="s">
        <v>33</v>
      </c>
      <c r="B14" s="175" t="s">
        <v>20</v>
      </c>
      <c r="K14" t="s">
        <v>101</v>
      </c>
      <c r="L14" t="s">
        <v>109</v>
      </c>
      <c r="M14" t="s">
        <v>21</v>
      </c>
    </row>
    <row r="15" spans="1:13" ht="15.75" x14ac:dyDescent="0.25">
      <c r="A15" s="3"/>
      <c r="B15" s="4"/>
      <c r="K15" t="s">
        <v>102</v>
      </c>
      <c r="L15" t="s">
        <v>107</v>
      </c>
    </row>
    <row r="16" spans="1:13" ht="15.75" hidden="1" x14ac:dyDescent="0.25">
      <c r="A16" s="3"/>
      <c r="B16" s="4"/>
      <c r="L16" t="s">
        <v>110</v>
      </c>
    </row>
    <row r="17" spans="1:4" hidden="1" x14ac:dyDescent="0.25"/>
    <row r="18" spans="1:4" ht="15.75" hidden="1" x14ac:dyDescent="0.25">
      <c r="B18" s="1"/>
    </row>
    <row r="19" spans="1:4" ht="15.75" thickBot="1" x14ac:dyDescent="0.3"/>
    <row r="20" spans="1:4" ht="20.25" thickTop="1" thickBot="1" x14ac:dyDescent="0.35">
      <c r="A20" s="58"/>
      <c r="B20" s="59" t="s">
        <v>4</v>
      </c>
      <c r="C20" s="60" t="s">
        <v>28</v>
      </c>
      <c r="D20" s="61" t="s">
        <v>100</v>
      </c>
    </row>
    <row r="21" spans="1:4" ht="22.5" customHeight="1" thickTop="1" x14ac:dyDescent="0.25">
      <c r="A21" s="57">
        <v>1</v>
      </c>
      <c r="B21" s="62"/>
      <c r="C21" s="63"/>
      <c r="D21" s="64"/>
    </row>
    <row r="22" spans="1:4" ht="22.5" customHeight="1" x14ac:dyDescent="0.25">
      <c r="A22" s="55">
        <v>2</v>
      </c>
      <c r="B22" s="65"/>
      <c r="C22" s="66"/>
      <c r="D22" s="67"/>
    </row>
    <row r="23" spans="1:4" ht="22.5" customHeight="1" x14ac:dyDescent="0.25">
      <c r="A23" s="55">
        <v>3</v>
      </c>
      <c r="B23" s="65"/>
      <c r="C23" s="66"/>
      <c r="D23" s="67"/>
    </row>
    <row r="24" spans="1:4" ht="22.5" customHeight="1" x14ac:dyDescent="0.25">
      <c r="A24" s="55">
        <v>4</v>
      </c>
      <c r="B24" s="65"/>
      <c r="C24" s="66"/>
      <c r="D24" s="67"/>
    </row>
    <row r="25" spans="1:4" ht="22.5" customHeight="1" x14ac:dyDescent="0.25">
      <c r="A25" s="55">
        <v>5</v>
      </c>
      <c r="B25" s="65"/>
      <c r="C25" s="66"/>
      <c r="D25" s="67"/>
    </row>
    <row r="26" spans="1:4" ht="22.5" customHeight="1" x14ac:dyDescent="0.25">
      <c r="A26" s="55">
        <v>6</v>
      </c>
      <c r="B26" s="65"/>
      <c r="C26" s="66"/>
      <c r="D26" s="67"/>
    </row>
    <row r="27" spans="1:4" ht="22.5" customHeight="1" x14ac:dyDescent="0.25">
      <c r="A27" s="55">
        <v>7</v>
      </c>
      <c r="B27" s="65"/>
      <c r="C27" s="66"/>
      <c r="D27" s="67"/>
    </row>
    <row r="28" spans="1:4" ht="22.5" customHeight="1" x14ac:dyDescent="0.25">
      <c r="A28" s="55">
        <v>8</v>
      </c>
      <c r="B28" s="65"/>
      <c r="C28" s="66"/>
      <c r="D28" s="67"/>
    </row>
    <row r="29" spans="1:4" ht="22.5" customHeight="1" x14ac:dyDescent="0.25">
      <c r="A29" s="55">
        <v>9</v>
      </c>
      <c r="B29" s="65"/>
      <c r="C29" s="66"/>
      <c r="D29" s="67"/>
    </row>
    <row r="30" spans="1:4" ht="22.5" customHeight="1" x14ac:dyDescent="0.25">
      <c r="A30" s="55">
        <v>10</v>
      </c>
      <c r="B30" s="65"/>
      <c r="C30" s="66"/>
      <c r="D30" s="67"/>
    </row>
    <row r="31" spans="1:4" ht="22.5" customHeight="1" x14ac:dyDescent="0.25">
      <c r="A31" s="55">
        <v>11</v>
      </c>
      <c r="B31" s="65"/>
      <c r="C31" s="66"/>
      <c r="D31" s="67"/>
    </row>
    <row r="32" spans="1:4" ht="22.5" customHeight="1" x14ac:dyDescent="0.25">
      <c r="A32" s="55">
        <v>12</v>
      </c>
      <c r="B32" s="65"/>
      <c r="C32" s="66"/>
      <c r="D32" s="67"/>
    </row>
    <row r="33" spans="1:4" ht="22.5" customHeight="1" x14ac:dyDescent="0.25">
      <c r="A33" s="55">
        <v>13</v>
      </c>
      <c r="B33" s="65"/>
      <c r="C33" s="66"/>
      <c r="D33" s="67"/>
    </row>
    <row r="34" spans="1:4" ht="22.5" customHeight="1" x14ac:dyDescent="0.25">
      <c r="A34" s="55">
        <v>14</v>
      </c>
      <c r="B34" s="65"/>
      <c r="C34" s="66"/>
      <c r="D34" s="67"/>
    </row>
    <row r="35" spans="1:4" ht="22.5" customHeight="1" x14ac:dyDescent="0.25">
      <c r="A35" s="55">
        <v>15</v>
      </c>
      <c r="B35" s="65"/>
      <c r="C35" s="66"/>
      <c r="D35" s="67"/>
    </row>
    <row r="36" spans="1:4" ht="22.5" customHeight="1" thickBot="1" x14ac:dyDescent="0.3">
      <c r="A36" s="56">
        <v>16</v>
      </c>
      <c r="B36" s="68"/>
      <c r="C36" s="69"/>
      <c r="D36" s="70"/>
    </row>
    <row r="37" spans="1:4" ht="15.75" thickTop="1" x14ac:dyDescent="0.25"/>
  </sheetData>
  <sheetProtection algorithmName="SHA-512" hashValue="Jgwd9yhdgFr+5bXAxKWsh+ZOZk5LgWh2QgzIY8s9ir+IVzqFyhJPRcgyFWEiq4d2mqDSPAZJjfEBSCnt12XGiw==" saltValue="SXoNrJmk2l8IO/VfWhtnhA==" spinCount="100000" sheet="1" objects="1" scenarios="1"/>
  <mergeCells count="2">
    <mergeCell ref="A7:D7"/>
    <mergeCell ref="A8:D8"/>
  </mergeCells>
  <phoneticPr fontId="3" type="noConversion"/>
  <dataValidations count="5">
    <dataValidation type="list" allowBlank="1" showInputMessage="1" showErrorMessage="1" sqref="B15:B16" xr:uid="{00000000-0002-0000-0000-000002000000}">
      <formula1>sexo</formula1>
    </dataValidation>
    <dataValidation type="list" allowBlank="1" showInputMessage="1" showErrorMessage="1" sqref="B14" xr:uid="{33AFCAFC-05A4-41E3-85F2-24EB3C58B7B5}">
      <formula1>$M$13:$M$14</formula1>
    </dataValidation>
    <dataValidation type="list" allowBlank="1" showInputMessage="1" showErrorMessage="1" sqref="B12" xr:uid="{D982E995-7C24-42D9-A3B2-BC35980B1346}">
      <formula1>$L$13:$L$16</formula1>
    </dataValidation>
    <dataValidation type="list" allowBlank="1" showInputMessage="1" showErrorMessage="1" sqref="B10" xr:uid="{BFB54F93-A4A7-4471-8ACC-F7EF549362CA}">
      <formula1>$K$13:$K$15</formula1>
    </dataValidation>
    <dataValidation type="list" allowBlank="1" showInputMessage="1" showErrorMessage="1" sqref="A7:D7" xr:uid="{21401DEE-0B20-4CF3-A8FE-AA70ACF5BCCC}">
      <formula1>$K$8:$K$10</formula1>
    </dataValidation>
  </dataValidations>
  <pageMargins left="0.78740157480314965" right="0.59055118110236227" top="0.78740157480314965" bottom="0.78740157480314965" header="0" footer="0"/>
  <pageSetup paperSize="9" orientation="portrait" horizontalDpi="4294967295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E9DE-2FA8-4B8D-B119-4159D3453AF3}">
  <dimension ref="A1:AS14"/>
  <sheetViews>
    <sheetView zoomScale="70" zoomScaleNormal="70" workbookViewId="0">
      <selection activeCell="R11" sqref="R11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15</v>
      </c>
      <c r="B6" s="346"/>
      <c r="C6" s="346"/>
      <c r="D6" s="346"/>
      <c r="E6" s="346"/>
      <c r="F6" s="346"/>
      <c r="G6" s="347"/>
      <c r="H6" s="358" t="s">
        <v>90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8'!C18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8'!C19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8'!C25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8'!C26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</sheetData>
  <sheetProtection algorithmName="SHA-512" hashValue="+VKATbvv389C2MHspMkBywVWTKcMtOvXdT02kE10vSRI85WYqJHarB4c45oqbxT581Hq9PNzWwnkR0pymFLVAQ==" saltValue="TEGuuDNFa+4lOIluQuvZHQ==" spinCount="100000" sheet="1" objects="1" scenarios="1"/>
  <mergeCells count="47"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ACEA-C66C-479A-9DAB-20F30E9C9113}">
  <dimension ref="A1:AS14"/>
  <sheetViews>
    <sheetView zoomScale="70" zoomScaleNormal="70" workbookViewId="0">
      <selection activeCell="A7" sqref="A7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16</v>
      </c>
      <c r="B6" s="346"/>
      <c r="C6" s="346"/>
      <c r="D6" s="346"/>
      <c r="E6" s="346"/>
      <c r="F6" s="346"/>
      <c r="G6" s="347"/>
      <c r="H6" s="358" t="s">
        <v>61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8'!A21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8'!A22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8'!S16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8'!S17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</sheetData>
  <sheetProtection algorithmName="SHA-512" hashValue="oKg+5yfNcDjVkR3S4cLthRlEUDFbdDpLn+6SJDKgvyGmNADQ6zNR/JQlDvTG7dCWlX/zyX+Eojy+BqZ+e6UimQ==" saltValue="+kfEWtN9y948ykiV4gHo6w==" spinCount="100000" sheet="1" objects="1" scenarios="1"/>
  <mergeCells count="47"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B328-65A1-4B15-9E2E-2881EFD7D0EA}">
  <dimension ref="A1:AS14"/>
  <sheetViews>
    <sheetView zoomScale="70" zoomScaleNormal="70" workbookViewId="0">
      <selection activeCell="AW8" sqref="AW8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17</v>
      </c>
      <c r="B6" s="346"/>
      <c r="C6" s="346"/>
      <c r="D6" s="346"/>
      <c r="E6" s="346"/>
      <c r="F6" s="346"/>
      <c r="G6" s="347"/>
      <c r="H6" s="361" t="s">
        <v>78</v>
      </c>
      <c r="I6" s="362"/>
      <c r="J6" s="362"/>
      <c r="K6" s="362"/>
      <c r="L6" s="362"/>
      <c r="M6" s="362"/>
      <c r="N6" s="363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8'!S6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8'!S7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8'!S8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8'!S9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</sheetData>
  <sheetProtection algorithmName="SHA-512" hashValue="TK+AOqGpA5IomWHxTpskaGCEamMKHZZtu3Jo85paA4JaFj0i9amGBT0DMVIlmD4aiElGpaKwhTuaZpv+ScJ18w==" saltValue="woIPjx7neQWcc5en8g+nJw==" spinCount="100000" sheet="1" objects="1" scenarios="1"/>
  <mergeCells count="47"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F13"/>
  <sheetViews>
    <sheetView workbookViewId="0">
      <selection activeCell="D30" sqref="D30"/>
    </sheetView>
  </sheetViews>
  <sheetFormatPr defaultRowHeight="15" x14ac:dyDescent="0.25"/>
  <cols>
    <col min="4" max="4" width="13" customWidth="1"/>
    <col min="6" max="6" width="13.42578125" customWidth="1"/>
  </cols>
  <sheetData>
    <row r="2" spans="4:6" x14ac:dyDescent="0.25">
      <c r="D2" t="s">
        <v>22</v>
      </c>
      <c r="F2" t="s">
        <v>19</v>
      </c>
    </row>
    <row r="3" spans="4:6" x14ac:dyDescent="0.25">
      <c r="D3" s="2" t="s">
        <v>23</v>
      </c>
      <c r="F3" s="2" t="s">
        <v>20</v>
      </c>
    </row>
    <row r="4" spans="4:6" x14ac:dyDescent="0.25">
      <c r="D4" s="2" t="s">
        <v>24</v>
      </c>
      <c r="F4" s="2" t="s">
        <v>21</v>
      </c>
    </row>
    <row r="5" spans="4:6" x14ac:dyDescent="0.25">
      <c r="D5" s="2" t="s">
        <v>25</v>
      </c>
    </row>
    <row r="6" spans="4:6" x14ac:dyDescent="0.25">
      <c r="D6" s="2" t="s">
        <v>26</v>
      </c>
    </row>
    <row r="10" spans="4:6" x14ac:dyDescent="0.25">
      <c r="D10" t="s">
        <v>29</v>
      </c>
    </row>
    <row r="11" spans="4:6" x14ac:dyDescent="0.25">
      <c r="D11" s="2" t="s">
        <v>30</v>
      </c>
    </row>
    <row r="12" spans="4:6" x14ac:dyDescent="0.25">
      <c r="D12" s="2" t="s">
        <v>31</v>
      </c>
    </row>
    <row r="13" spans="4:6" x14ac:dyDescent="0.25">
      <c r="D13" s="2" t="s">
        <v>32</v>
      </c>
    </row>
  </sheetData>
  <phoneticPr fontId="0" type="noConversion"/>
  <dataValidations count="1">
    <dataValidation type="list" allowBlank="1" showInputMessage="1" showErrorMessage="1" sqref="D3:D6" xr:uid="{00000000-0002-0000-0800-000000000000}">
      <formula1>$D$3:$D$6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5"/>
  <sheetViews>
    <sheetView view="pageBreakPreview" topLeftCell="A70" zoomScaleNormal="100" zoomScaleSheetLayoutView="100" workbookViewId="0">
      <selection activeCell="E68" sqref="E68:N73"/>
    </sheetView>
  </sheetViews>
  <sheetFormatPr defaultRowHeight="15" x14ac:dyDescent="0.25"/>
  <cols>
    <col min="1" max="1" width="2.7109375" style="30" customWidth="1"/>
    <col min="2" max="2" width="4" style="30" bestFit="1" customWidth="1"/>
    <col min="3" max="4" width="2" style="30" bestFit="1" customWidth="1"/>
    <col min="5" max="14" width="3.85546875" style="30" customWidth="1"/>
    <col min="15" max="37" width="3.85546875" style="30" hidden="1" customWidth="1"/>
    <col min="38" max="38" width="3.85546875" style="30" customWidth="1"/>
    <col min="39" max="40" width="5.28515625" style="30" customWidth="1"/>
    <col min="41" max="41" width="23.140625" style="30" customWidth="1"/>
    <col min="42" max="42" width="19.5703125" style="30" customWidth="1"/>
    <col min="43" max="46" width="8.85546875" style="30" customWidth="1"/>
    <col min="47" max="48" width="12.5703125" style="30" customWidth="1"/>
    <col min="49" max="49" width="12.85546875" style="30" customWidth="1"/>
    <col min="50" max="50" width="9.140625" style="30"/>
    <col min="51" max="52" width="0" style="30" hidden="1" customWidth="1"/>
    <col min="53" max="16384" width="9.140625" style="30"/>
  </cols>
  <sheetData>
    <row r="1" spans="1:52" s="200" customFormat="1" x14ac:dyDescent="0.25"/>
    <row r="2" spans="1:52" s="200" customFormat="1" x14ac:dyDescent="0.25"/>
    <row r="3" spans="1:52" s="200" customFormat="1" x14ac:dyDescent="0.25"/>
    <row r="4" spans="1:52" s="200" customFormat="1" x14ac:dyDescent="0.25"/>
    <row r="5" spans="1:52" s="200" customFormat="1" ht="81.75" customHeight="1" x14ac:dyDescent="0.25"/>
    <row r="6" spans="1:52" s="200" customFormat="1" ht="26.25" x14ac:dyDescent="0.4">
      <c r="AM6" s="263" t="str">
        <f>SORTEIO!A7</f>
        <v>Campeonato Nacional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01"/>
    </row>
    <row r="7" spans="1:52" s="200" customFormat="1" ht="15.75" x14ac:dyDescent="0.25">
      <c r="AO7" s="202"/>
      <c r="AP7" s="203"/>
      <c r="AQ7" s="203"/>
      <c r="AR7" s="203"/>
      <c r="AS7" s="203"/>
      <c r="AT7" s="203"/>
    </row>
    <row r="8" spans="1:52" s="200" customFormat="1" ht="15.75" x14ac:dyDescent="0.25">
      <c r="AM8" s="204" t="s">
        <v>71</v>
      </c>
      <c r="AN8" s="205"/>
      <c r="AO8" s="206" t="str">
        <f>SORTEIO!B10</f>
        <v>CLDE</v>
      </c>
      <c r="AP8" s="202"/>
    </row>
    <row r="9" spans="1:52" s="200" customFormat="1" ht="15.75" x14ac:dyDescent="0.25">
      <c r="AM9" s="207" t="s">
        <v>27</v>
      </c>
      <c r="AN9" s="205"/>
      <c r="AO9" s="208" t="str">
        <f>SORTEIO!B12</f>
        <v>Iniciado</v>
      </c>
      <c r="AP9" s="203"/>
      <c r="AQ9" s="203"/>
      <c r="AR9" s="203"/>
      <c r="AS9" s="283"/>
      <c r="AT9" s="283"/>
    </row>
    <row r="10" spans="1:52" s="200" customFormat="1" ht="15.75" x14ac:dyDescent="0.25">
      <c r="AM10" s="207" t="s">
        <v>64</v>
      </c>
      <c r="AN10" s="207"/>
      <c r="AO10" s="209" t="str">
        <f>SORTEIO!B14</f>
        <v>Masculino</v>
      </c>
      <c r="AP10" s="202"/>
      <c r="AQ10" s="202"/>
      <c r="AR10" s="210"/>
      <c r="AS10" s="210"/>
      <c r="AT10" s="211"/>
    </row>
    <row r="11" spans="1:52" s="200" customFormat="1" ht="39.75" customHeight="1" thickBot="1" x14ac:dyDescent="0.3">
      <c r="AS11" s="212"/>
      <c r="AT11" s="212"/>
      <c r="AU11" s="213"/>
      <c r="AV11" s="213"/>
    </row>
    <row r="12" spans="1:52" s="200" customFormat="1" ht="95.25" customHeight="1" thickBot="1" x14ac:dyDescent="0.3">
      <c r="AO12" s="214" t="s">
        <v>59</v>
      </c>
      <c r="AQ12" s="284">
        <f>AO14</f>
        <v>0</v>
      </c>
      <c r="AR12" s="286">
        <f>AO16</f>
        <v>0</v>
      </c>
      <c r="AS12" s="305">
        <f>AO18</f>
        <v>0</v>
      </c>
      <c r="AT12" s="288">
        <f>AO20</f>
        <v>0</v>
      </c>
    </row>
    <row r="13" spans="1:52" s="200" customFormat="1" ht="18" customHeight="1" thickBot="1" x14ac:dyDescent="0.3">
      <c r="AM13" s="211"/>
      <c r="AN13" s="211"/>
      <c r="AO13" s="215" t="s">
        <v>4</v>
      </c>
      <c r="AP13" s="216" t="s">
        <v>77</v>
      </c>
      <c r="AQ13" s="285"/>
      <c r="AR13" s="287"/>
      <c r="AS13" s="306"/>
      <c r="AT13" s="289"/>
      <c r="AU13" s="217" t="s">
        <v>16</v>
      </c>
      <c r="AV13" s="218" t="s">
        <v>17</v>
      </c>
    </row>
    <row r="14" spans="1:52" x14ac:dyDescent="0.25">
      <c r="A14" s="5">
        <v>1</v>
      </c>
      <c r="B14" s="194"/>
      <c r="C14" s="230">
        <v>1</v>
      </c>
      <c r="D14" s="230">
        <v>3</v>
      </c>
      <c r="E14" s="179"/>
      <c r="F14" s="197"/>
      <c r="G14" s="188"/>
      <c r="H14" s="189"/>
      <c r="I14" s="185"/>
      <c r="J14" s="197"/>
      <c r="K14" s="188"/>
      <c r="L14" s="189"/>
      <c r="M14" s="185"/>
      <c r="N14" s="180"/>
      <c r="O14" s="6">
        <f t="shared" ref="O14:O20" si="0">IF(E14="wo",0,IF(F14="wo",1,IF(E14&gt;F14,1,0)))</f>
        <v>0</v>
      </c>
      <c r="P14" s="6">
        <f t="shared" ref="P14:P20" si="1">IF(E14="wo",1,IF(F14="wo",0,IF(F14&gt;E14,1,0)))</f>
        <v>0</v>
      </c>
      <c r="Q14" s="6">
        <f t="shared" ref="Q14:Q20" si="2">IF(G14="wo",0,IF(H14="wo",1,IF(G14&gt;H14,1,0)))</f>
        <v>0</v>
      </c>
      <c r="R14" s="6">
        <f t="shared" ref="R14:R20" si="3">IF(G14="wo",1,IF(H14="wo",0,IF(H14&gt;G14,1,0)))</f>
        <v>0</v>
      </c>
      <c r="S14" s="6">
        <f t="shared" ref="S14:S20" si="4">IF(I14="wo",0,IF(J14="wo",1,IF(I14&gt;J14,1,0)))</f>
        <v>0</v>
      </c>
      <c r="T14" s="6">
        <f t="shared" ref="T14:T20" si="5">IF(I14="wo",1,IF(J14="wo",0,IF(J14&gt;I14,1,0)))</f>
        <v>0</v>
      </c>
      <c r="U14" s="6">
        <f t="shared" ref="U14:U20" si="6">IF(K14="wo",0,IF(L14="wo",1,IF(K14&gt;L14,1,0)))</f>
        <v>0</v>
      </c>
      <c r="V14" s="6">
        <f t="shared" ref="V14:V20" si="7">IF(K14="wo",1,IF(L14="wo",0,IF(L14&gt;K14,1,0)))</f>
        <v>0</v>
      </c>
      <c r="W14" s="6">
        <f t="shared" ref="W14:W20" si="8">IF(M14="wo",0,IF(N14="wo",1,IF(M14&gt;N14,1,0)))</f>
        <v>0</v>
      </c>
      <c r="X14" s="6">
        <f t="shared" ref="X14:X20" si="9">IF(M14="wo",1,IF(N14="wo",0,IF(N14&gt;M14,1,0)))</f>
        <v>0</v>
      </c>
      <c r="Y14" s="7">
        <f t="shared" ref="Y14:Z20" si="10">IF(E14="wo","wo",+O14+Q14+S14+U14+W14)</f>
        <v>0</v>
      </c>
      <c r="Z14" s="7">
        <f t="shared" si="10"/>
        <v>0</v>
      </c>
      <c r="AA14" s="8">
        <f t="shared" ref="AA14:AA20" si="11">IF(E14="",0,IF(E14="wo",0,IF(F14="wo",2,IF(Y14=Z14,0,IF(Y14&gt;Z14,2,1)))))</f>
        <v>0</v>
      </c>
      <c r="AB14" s="8">
        <f t="shared" ref="AB14:AB20" si="12">IF(F14="",0,IF(F14="wo",0,IF(E14="wo",2,IF(Z14=Y14,0,IF(Z14&gt;Y14,2,1)))))</f>
        <v>0</v>
      </c>
      <c r="AC14" s="9" t="str">
        <f>IF(E14="","",IF(E14="wo",0,IF(F14="wo",0,IF(E14=F14,"ERROR",IF(E14&gt;F14,F14,-1*E14)))))</f>
        <v/>
      </c>
      <c r="AD14" s="9" t="str">
        <f t="shared" ref="AD14:AD20" si="13">IF(G14="","",IF(G14="wo",0,IF(H14="wo",0,IF(G14=H14,"ERROR",IF(G14&gt;H14,H14,-1*G14)))))</f>
        <v/>
      </c>
      <c r="AE14" s="9" t="str">
        <f t="shared" ref="AE14:AE20" si="14">IF(I14="","",IF(I14="wo",0,IF(J14="wo",0,IF(I14=J14,"ERROR",IF(I14&gt;J14,J14,-1*I14)))))</f>
        <v/>
      </c>
      <c r="AF14" s="9" t="str">
        <f t="shared" ref="AF14:AF20" si="15">IF(K14="","",IF(K14="wo",0,IF(L14="wo",0,IF(K14=L14,"ERROR",IF(K14&gt;L14,L14,-1*K14)))))</f>
        <v/>
      </c>
      <c r="AG14" s="9" t="str">
        <f t="shared" ref="AG14:AG20" si="16">IF(M14="","",IF(M14="wo",0,IF(N14="wo",0,IF(M14=N14,"ERROR",IF(M14&gt;N14,N14,-1*M14)))))</f>
        <v/>
      </c>
      <c r="AH14" s="10" t="str">
        <f t="shared" ref="AH14:AH20" si="17">IF(E14="","",(IF(K14="",AC14&amp;", "&amp;AD14&amp;", "&amp;AE14,IF(M14="",AC14&amp;", "&amp;AD14&amp;", "&amp;AE14&amp;", "&amp;AF14,AC14&amp;","&amp;AD14&amp;","&amp;AE14&amp;","&amp;AF14&amp;","&amp;AG14))))</f>
        <v/>
      </c>
      <c r="AI14" s="11">
        <f>SUMIF(C14:C21,1,AA14:AA21)+SUMIF(D14:D21,1,AB14:AB21)</f>
        <v>0</v>
      </c>
      <c r="AJ14" s="11" t="str">
        <f>IF(AI14&lt;&gt;0,RANK(AI14,AI14:AI21),"")</f>
        <v/>
      </c>
      <c r="AK14" s="12"/>
      <c r="AL14" s="219"/>
      <c r="AM14" s="308">
        <v>1</v>
      </c>
      <c r="AN14" s="290">
        <f>B14</f>
        <v>0</v>
      </c>
      <c r="AO14" s="309">
        <f>IF(AN14=0,0,VLOOKUP(AN14,SORTEIO!$A$21:$C$37,2,FALSE))</f>
        <v>0</v>
      </c>
      <c r="AP14" s="300">
        <f>IF(AN14=0,0,VLOOKUP(AN14,SORTEIO!$A$21:$C$37,3,FALSE))</f>
        <v>0</v>
      </c>
      <c r="AQ14" s="313"/>
      <c r="AR14" s="220" t="str">
        <f>IF(AND(Y16=0,Z16=0),"",Y16&amp;" - "&amp;Z16)</f>
        <v/>
      </c>
      <c r="AS14" s="221" t="str">
        <f>IF(AND(Y14=0,Z14=0),"",Y14&amp;" - "&amp;Z14)</f>
        <v/>
      </c>
      <c r="AT14" s="222" t="str">
        <f>IF(AND(Y18=0,Z18=0),"",Y18&amp;" - "&amp;Z18)</f>
        <v/>
      </c>
      <c r="AU14" s="274">
        <f>AI14</f>
        <v>0</v>
      </c>
      <c r="AV14" s="312" t="str">
        <f>IF(AJ15="",AJ14,AJ15)</f>
        <v/>
      </c>
      <c r="AY14" s="30">
        <f>AO14</f>
        <v>0</v>
      </c>
      <c r="AZ14" s="30">
        <f>AP14</f>
        <v>0</v>
      </c>
    </row>
    <row r="15" spans="1:52" x14ac:dyDescent="0.25">
      <c r="A15" s="5">
        <v>2</v>
      </c>
      <c r="B15" s="195"/>
      <c r="C15" s="230">
        <v>2</v>
      </c>
      <c r="D15" s="230">
        <v>4</v>
      </c>
      <c r="E15" s="181"/>
      <c r="F15" s="198"/>
      <c r="G15" s="190"/>
      <c r="H15" s="191"/>
      <c r="I15" s="186"/>
      <c r="J15" s="198"/>
      <c r="K15" s="190"/>
      <c r="L15" s="191"/>
      <c r="M15" s="186"/>
      <c r="N15" s="182"/>
      <c r="O15" s="6">
        <f t="shared" si="0"/>
        <v>0</v>
      </c>
      <c r="P15" s="6">
        <f t="shared" si="1"/>
        <v>0</v>
      </c>
      <c r="Q15" s="6">
        <f t="shared" si="2"/>
        <v>0</v>
      </c>
      <c r="R15" s="6">
        <f t="shared" si="3"/>
        <v>0</v>
      </c>
      <c r="S15" s="6">
        <f t="shared" si="4"/>
        <v>0</v>
      </c>
      <c r="T15" s="6">
        <f t="shared" si="5"/>
        <v>0</v>
      </c>
      <c r="U15" s="6">
        <f t="shared" si="6"/>
        <v>0</v>
      </c>
      <c r="V15" s="6">
        <f t="shared" si="7"/>
        <v>0</v>
      </c>
      <c r="W15" s="6">
        <f t="shared" si="8"/>
        <v>0</v>
      </c>
      <c r="X15" s="6">
        <f t="shared" si="9"/>
        <v>0</v>
      </c>
      <c r="Y15" s="7">
        <f t="shared" si="10"/>
        <v>0</v>
      </c>
      <c r="Z15" s="7">
        <f t="shared" si="10"/>
        <v>0</v>
      </c>
      <c r="AA15" s="8">
        <f t="shared" si="11"/>
        <v>0</v>
      </c>
      <c r="AB15" s="8">
        <f t="shared" si="12"/>
        <v>0</v>
      </c>
      <c r="AC15" s="9" t="str">
        <f t="shared" ref="AC15:AC20" si="18">IF(E15="","",IF(E15="wo",0,IF(F15="wo",0,IF(E15=F15,"ERROR",IF(E15&gt;F15,F15,-1*E15)))))</f>
        <v/>
      </c>
      <c r="AD15" s="9" t="str">
        <f t="shared" si="13"/>
        <v/>
      </c>
      <c r="AE15" s="9" t="str">
        <f t="shared" si="14"/>
        <v/>
      </c>
      <c r="AF15" s="9" t="str">
        <f t="shared" si="15"/>
        <v/>
      </c>
      <c r="AG15" s="9" t="str">
        <f t="shared" si="16"/>
        <v/>
      </c>
      <c r="AH15" s="10" t="str">
        <f t="shared" si="17"/>
        <v/>
      </c>
      <c r="AI15" s="11"/>
      <c r="AJ15" s="13"/>
      <c r="AK15" s="12"/>
      <c r="AL15" s="219"/>
      <c r="AM15" s="307"/>
      <c r="AN15" s="291"/>
      <c r="AO15" s="304"/>
      <c r="AP15" s="301"/>
      <c r="AQ15" s="314"/>
      <c r="AR15" s="223" t="str">
        <f>AH16</f>
        <v/>
      </c>
      <c r="AS15" s="224" t="str">
        <f>AH14</f>
        <v/>
      </c>
      <c r="AT15" s="225" t="str">
        <f>AH18</f>
        <v/>
      </c>
      <c r="AU15" s="275"/>
      <c r="AV15" s="310"/>
    </row>
    <row r="16" spans="1:52" x14ac:dyDescent="0.25">
      <c r="A16" s="5">
        <v>3</v>
      </c>
      <c r="B16" s="195"/>
      <c r="C16" s="230">
        <v>1</v>
      </c>
      <c r="D16" s="230">
        <v>2</v>
      </c>
      <c r="E16" s="181"/>
      <c r="F16" s="198"/>
      <c r="G16" s="190"/>
      <c r="H16" s="191"/>
      <c r="I16" s="186"/>
      <c r="J16" s="198"/>
      <c r="K16" s="190"/>
      <c r="L16" s="191"/>
      <c r="M16" s="186"/>
      <c r="N16" s="182"/>
      <c r="O16" s="6">
        <f t="shared" si="0"/>
        <v>0</v>
      </c>
      <c r="P16" s="6">
        <f t="shared" si="1"/>
        <v>0</v>
      </c>
      <c r="Q16" s="6">
        <f t="shared" si="2"/>
        <v>0</v>
      </c>
      <c r="R16" s="6">
        <f t="shared" si="3"/>
        <v>0</v>
      </c>
      <c r="S16" s="6">
        <f t="shared" si="4"/>
        <v>0</v>
      </c>
      <c r="T16" s="6">
        <f t="shared" si="5"/>
        <v>0</v>
      </c>
      <c r="U16" s="6">
        <f t="shared" si="6"/>
        <v>0</v>
      </c>
      <c r="V16" s="6">
        <f t="shared" si="7"/>
        <v>0</v>
      </c>
      <c r="W16" s="6">
        <f t="shared" si="8"/>
        <v>0</v>
      </c>
      <c r="X16" s="6">
        <f t="shared" si="9"/>
        <v>0</v>
      </c>
      <c r="Y16" s="7">
        <f t="shared" si="10"/>
        <v>0</v>
      </c>
      <c r="Z16" s="7">
        <f t="shared" si="10"/>
        <v>0</v>
      </c>
      <c r="AA16" s="8">
        <f t="shared" si="11"/>
        <v>0</v>
      </c>
      <c r="AB16" s="8">
        <f t="shared" si="12"/>
        <v>0</v>
      </c>
      <c r="AC16" s="9" t="str">
        <f t="shared" si="18"/>
        <v/>
      </c>
      <c r="AD16" s="9" t="str">
        <f t="shared" si="13"/>
        <v/>
      </c>
      <c r="AE16" s="9" t="str">
        <f t="shared" si="14"/>
        <v/>
      </c>
      <c r="AF16" s="9" t="str">
        <f t="shared" si="15"/>
        <v/>
      </c>
      <c r="AG16" s="9" t="str">
        <f t="shared" si="16"/>
        <v/>
      </c>
      <c r="AH16" s="10" t="str">
        <f t="shared" si="17"/>
        <v/>
      </c>
      <c r="AI16" s="11">
        <f>SUMIF(C14:C21,2,AA14:AA21)+SUMIF(D14:D21,2,AB14:AB21)</f>
        <v>0</v>
      </c>
      <c r="AJ16" s="11" t="str">
        <f>IF(AI16&lt;&gt;0,RANK(AI16,AI14:AI21),"")</f>
        <v/>
      </c>
      <c r="AK16" s="12"/>
      <c r="AL16" s="219"/>
      <c r="AM16" s="292">
        <v>2</v>
      </c>
      <c r="AN16" s="294">
        <f>B15</f>
        <v>0</v>
      </c>
      <c r="AO16" s="296">
        <f>IF(AN16=0,0,VLOOKUP(AN16,SORTEIO!$A$21:$C$37,2,FALSE))</f>
        <v>0</v>
      </c>
      <c r="AP16" s="298">
        <f>IF(AN16=0,0,VLOOKUP(AN16,SORTEIO!$A$21:$C$37,3,FALSE))</f>
        <v>0</v>
      </c>
      <c r="AQ16" s="278" t="str">
        <f>IF(AND(Y16=0,Z16=0),"",Z16&amp;" - "&amp;Y16)</f>
        <v/>
      </c>
      <c r="AR16" s="279"/>
      <c r="AS16" s="226" t="str">
        <f>IF(AND(Y19=0,Z19=0),"",Y19&amp;" - "&amp;Z19)</f>
        <v/>
      </c>
      <c r="AT16" s="227" t="str">
        <f>IF(AND(Y15=0,Z15=0),"",Y15&amp;" - "&amp;Z15)</f>
        <v/>
      </c>
      <c r="AU16" s="275">
        <f>AI16</f>
        <v>0</v>
      </c>
      <c r="AV16" s="310" t="str">
        <f t="shared" ref="AV16" si="19">IF(AJ17="",AJ16,AJ17)</f>
        <v/>
      </c>
      <c r="AY16" s="30">
        <f>AO16</f>
        <v>0</v>
      </c>
      <c r="AZ16" s="30">
        <f>AP16</f>
        <v>0</v>
      </c>
    </row>
    <row r="17" spans="1:52" ht="15.75" thickBot="1" x14ac:dyDescent="0.3">
      <c r="A17" s="5">
        <v>4</v>
      </c>
      <c r="B17" s="196"/>
      <c r="C17" s="230">
        <v>3</v>
      </c>
      <c r="D17" s="230">
        <v>4</v>
      </c>
      <c r="E17" s="181"/>
      <c r="F17" s="198"/>
      <c r="G17" s="190"/>
      <c r="H17" s="191"/>
      <c r="I17" s="186"/>
      <c r="J17" s="198"/>
      <c r="K17" s="190"/>
      <c r="L17" s="191"/>
      <c r="M17" s="186"/>
      <c r="N17" s="182"/>
      <c r="O17" s="6">
        <f t="shared" si="0"/>
        <v>0</v>
      </c>
      <c r="P17" s="6">
        <f t="shared" si="1"/>
        <v>0</v>
      </c>
      <c r="Q17" s="6">
        <f t="shared" si="2"/>
        <v>0</v>
      </c>
      <c r="R17" s="6">
        <f t="shared" si="3"/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  <c r="V17" s="6">
        <f t="shared" si="7"/>
        <v>0</v>
      </c>
      <c r="W17" s="6">
        <f t="shared" si="8"/>
        <v>0</v>
      </c>
      <c r="X17" s="6">
        <f t="shared" si="9"/>
        <v>0</v>
      </c>
      <c r="Y17" s="7">
        <f t="shared" si="10"/>
        <v>0</v>
      </c>
      <c r="Z17" s="7">
        <f t="shared" si="10"/>
        <v>0</v>
      </c>
      <c r="AA17" s="8">
        <f t="shared" si="11"/>
        <v>0</v>
      </c>
      <c r="AB17" s="8">
        <f t="shared" si="12"/>
        <v>0</v>
      </c>
      <c r="AC17" s="9" t="str">
        <f t="shared" si="18"/>
        <v/>
      </c>
      <c r="AD17" s="9" t="str">
        <f t="shared" si="13"/>
        <v/>
      </c>
      <c r="AE17" s="9" t="str">
        <f t="shared" si="14"/>
        <v/>
      </c>
      <c r="AF17" s="9" t="str">
        <f t="shared" si="15"/>
        <v/>
      </c>
      <c r="AG17" s="9" t="str">
        <f t="shared" si="16"/>
        <v/>
      </c>
      <c r="AH17" s="10" t="str">
        <f t="shared" si="17"/>
        <v/>
      </c>
      <c r="AI17" s="11"/>
      <c r="AJ17" s="13"/>
      <c r="AK17" s="12"/>
      <c r="AL17" s="219"/>
      <c r="AM17" s="292"/>
      <c r="AN17" s="294"/>
      <c r="AO17" s="296"/>
      <c r="AP17" s="298"/>
      <c r="AQ17" s="278"/>
      <c r="AR17" s="279"/>
      <c r="AS17" s="224" t="str">
        <f>AH19</f>
        <v/>
      </c>
      <c r="AT17" s="225" t="str">
        <f>AH15</f>
        <v/>
      </c>
      <c r="AU17" s="275"/>
      <c r="AV17" s="310"/>
      <c r="AW17" s="36"/>
    </row>
    <row r="18" spans="1:52" x14ac:dyDescent="0.25">
      <c r="A18" s="5" t="str">
        <f>IF(B13=5,5,"")</f>
        <v/>
      </c>
      <c r="B18" s="231"/>
      <c r="C18" s="230">
        <v>1</v>
      </c>
      <c r="D18" s="230">
        <v>4</v>
      </c>
      <c r="E18" s="181"/>
      <c r="F18" s="198"/>
      <c r="G18" s="190"/>
      <c r="H18" s="191"/>
      <c r="I18" s="186"/>
      <c r="J18" s="198"/>
      <c r="K18" s="190"/>
      <c r="L18" s="191"/>
      <c r="M18" s="186"/>
      <c r="N18" s="182"/>
      <c r="O18" s="6">
        <f t="shared" si="0"/>
        <v>0</v>
      </c>
      <c r="P18" s="6">
        <f t="shared" si="1"/>
        <v>0</v>
      </c>
      <c r="Q18" s="6">
        <f t="shared" si="2"/>
        <v>0</v>
      </c>
      <c r="R18" s="6">
        <f t="shared" si="3"/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  <c r="V18" s="6">
        <f t="shared" si="7"/>
        <v>0</v>
      </c>
      <c r="W18" s="6">
        <f t="shared" si="8"/>
        <v>0</v>
      </c>
      <c r="X18" s="6">
        <f t="shared" si="9"/>
        <v>0</v>
      </c>
      <c r="Y18" s="7">
        <f t="shared" si="10"/>
        <v>0</v>
      </c>
      <c r="Z18" s="7">
        <f t="shared" si="10"/>
        <v>0</v>
      </c>
      <c r="AA18" s="8">
        <f t="shared" si="11"/>
        <v>0</v>
      </c>
      <c r="AB18" s="8">
        <f t="shared" si="12"/>
        <v>0</v>
      </c>
      <c r="AC18" s="9" t="str">
        <f t="shared" si="18"/>
        <v/>
      </c>
      <c r="AD18" s="9" t="str">
        <f t="shared" si="13"/>
        <v/>
      </c>
      <c r="AE18" s="9" t="str">
        <f t="shared" si="14"/>
        <v/>
      </c>
      <c r="AF18" s="9" t="str">
        <f t="shared" si="15"/>
        <v/>
      </c>
      <c r="AG18" s="9" t="str">
        <f t="shared" si="16"/>
        <v/>
      </c>
      <c r="AH18" s="10" t="str">
        <f t="shared" si="17"/>
        <v/>
      </c>
      <c r="AI18" s="11">
        <f>SUMIF(C14:C21,3,AA14:AA21)+SUMIF(D14:D21,3,AB14:AB21)</f>
        <v>0</v>
      </c>
      <c r="AJ18" s="11" t="str">
        <f>IF(AI18&lt;&gt;0,RANK(AI18,AI14:AI21),"")</f>
        <v/>
      </c>
      <c r="AK18" s="12"/>
      <c r="AL18" s="219"/>
      <c r="AM18" s="307">
        <v>3</v>
      </c>
      <c r="AN18" s="291">
        <f>B16</f>
        <v>0</v>
      </c>
      <c r="AO18" s="304">
        <f>IF(AN18=0,0,VLOOKUP(AN18,SORTEIO!$A$21:$C$37,2,FALSE))</f>
        <v>0</v>
      </c>
      <c r="AP18" s="301">
        <f>IF(AN18=0,0,VLOOKUP(AN18,SORTEIO!$A$21:$C$37,3,FALSE))</f>
        <v>0</v>
      </c>
      <c r="AQ18" s="278" t="str">
        <f>IF(AND(Y14=0,Z14=0),"",Z14&amp;" - "&amp;Y14)</f>
        <v/>
      </c>
      <c r="AR18" s="269" t="str">
        <f>IF(AND(Y19=0,Z19=0),"",Z19&amp;" - "&amp;Y19)</f>
        <v/>
      </c>
      <c r="AS18" s="282"/>
      <c r="AT18" s="228" t="str">
        <f>IF(AND(Y17=0,Z17=0),"",Y17&amp;" - "&amp;Z17)</f>
        <v/>
      </c>
      <c r="AU18" s="275">
        <f>AI18</f>
        <v>0</v>
      </c>
      <c r="AV18" s="310" t="str">
        <f t="shared" ref="AV18" si="20">IF(AJ19="",AJ18,AJ19)</f>
        <v/>
      </c>
      <c r="AY18" s="30">
        <f>AO18</f>
        <v>0</v>
      </c>
      <c r="AZ18" s="30">
        <f>AP18</f>
        <v>0</v>
      </c>
    </row>
    <row r="19" spans="1:52" ht="15.75" thickBot="1" x14ac:dyDescent="0.3">
      <c r="A19" s="14"/>
      <c r="B19" s="14"/>
      <c r="C19" s="230">
        <v>2</v>
      </c>
      <c r="D19" s="230">
        <v>3</v>
      </c>
      <c r="E19" s="183"/>
      <c r="F19" s="199"/>
      <c r="G19" s="192"/>
      <c r="H19" s="193"/>
      <c r="I19" s="187"/>
      <c r="J19" s="199"/>
      <c r="K19" s="192"/>
      <c r="L19" s="193"/>
      <c r="M19" s="187"/>
      <c r="N19" s="184"/>
      <c r="O19" s="6">
        <f t="shared" si="0"/>
        <v>0</v>
      </c>
      <c r="P19" s="6">
        <f t="shared" si="1"/>
        <v>0</v>
      </c>
      <c r="Q19" s="6">
        <f t="shared" si="2"/>
        <v>0</v>
      </c>
      <c r="R19" s="6">
        <f t="shared" si="3"/>
        <v>0</v>
      </c>
      <c r="S19" s="6">
        <f t="shared" si="4"/>
        <v>0</v>
      </c>
      <c r="T19" s="6">
        <f t="shared" si="5"/>
        <v>0</v>
      </c>
      <c r="U19" s="6">
        <f t="shared" si="6"/>
        <v>0</v>
      </c>
      <c r="V19" s="6">
        <f t="shared" si="7"/>
        <v>0</v>
      </c>
      <c r="W19" s="6">
        <f t="shared" si="8"/>
        <v>0</v>
      </c>
      <c r="X19" s="6">
        <f t="shared" si="9"/>
        <v>0</v>
      </c>
      <c r="Y19" s="7">
        <f t="shared" si="10"/>
        <v>0</v>
      </c>
      <c r="Z19" s="7">
        <f t="shared" si="10"/>
        <v>0</v>
      </c>
      <c r="AA19" s="8">
        <f t="shared" si="11"/>
        <v>0</v>
      </c>
      <c r="AB19" s="8">
        <f t="shared" si="12"/>
        <v>0</v>
      </c>
      <c r="AC19" s="9" t="str">
        <f t="shared" si="18"/>
        <v/>
      </c>
      <c r="AD19" s="9" t="str">
        <f t="shared" si="13"/>
        <v/>
      </c>
      <c r="AE19" s="9" t="str">
        <f t="shared" si="14"/>
        <v/>
      </c>
      <c r="AF19" s="9" t="str">
        <f t="shared" si="15"/>
        <v/>
      </c>
      <c r="AG19" s="9" t="str">
        <f t="shared" si="16"/>
        <v/>
      </c>
      <c r="AH19" s="10" t="str">
        <f t="shared" si="17"/>
        <v/>
      </c>
      <c r="AI19" s="11"/>
      <c r="AJ19" s="13"/>
      <c r="AK19" s="12"/>
      <c r="AL19" s="219"/>
      <c r="AM19" s="307"/>
      <c r="AN19" s="291"/>
      <c r="AO19" s="304"/>
      <c r="AP19" s="301"/>
      <c r="AQ19" s="278"/>
      <c r="AR19" s="269"/>
      <c r="AS19" s="282"/>
      <c r="AT19" s="229" t="str">
        <f>AH17</f>
        <v/>
      </c>
      <c r="AU19" s="275"/>
      <c r="AV19" s="310"/>
    </row>
    <row r="20" spans="1:52" x14ac:dyDescent="0.25">
      <c r="A20" s="14"/>
      <c r="B20" s="14"/>
      <c r="C20" s="230"/>
      <c r="D20" s="230"/>
      <c r="E20" s="232"/>
      <c r="F20" s="233"/>
      <c r="G20" s="234"/>
      <c r="H20" s="235"/>
      <c r="I20" s="232"/>
      <c r="J20" s="233"/>
      <c r="K20" s="234"/>
      <c r="L20" s="235"/>
      <c r="M20" s="232"/>
      <c r="N20" s="233"/>
      <c r="O20" s="236">
        <f t="shared" si="0"/>
        <v>0</v>
      </c>
      <c r="P20" s="236">
        <f t="shared" si="1"/>
        <v>0</v>
      </c>
      <c r="Q20" s="236">
        <f t="shared" si="2"/>
        <v>0</v>
      </c>
      <c r="R20" s="236">
        <f t="shared" si="3"/>
        <v>0</v>
      </c>
      <c r="S20" s="236">
        <f t="shared" si="4"/>
        <v>0</v>
      </c>
      <c r="T20" s="236">
        <f t="shared" si="5"/>
        <v>0</v>
      </c>
      <c r="U20" s="236">
        <f t="shared" si="6"/>
        <v>0</v>
      </c>
      <c r="V20" s="236">
        <f t="shared" si="7"/>
        <v>0</v>
      </c>
      <c r="W20" s="236">
        <f t="shared" si="8"/>
        <v>0</v>
      </c>
      <c r="X20" s="236">
        <f t="shared" si="9"/>
        <v>0</v>
      </c>
      <c r="Y20" s="237">
        <f t="shared" si="10"/>
        <v>0</v>
      </c>
      <c r="Z20" s="237">
        <f t="shared" si="10"/>
        <v>0</v>
      </c>
      <c r="AA20" s="238">
        <f t="shared" si="11"/>
        <v>0</v>
      </c>
      <c r="AB20" s="238">
        <f t="shared" si="12"/>
        <v>0</v>
      </c>
      <c r="AC20" s="239" t="str">
        <f t="shared" si="18"/>
        <v/>
      </c>
      <c r="AD20" s="239" t="str">
        <f t="shared" si="13"/>
        <v/>
      </c>
      <c r="AE20" s="239" t="str">
        <f t="shared" si="14"/>
        <v/>
      </c>
      <c r="AF20" s="239" t="str">
        <f t="shared" si="15"/>
        <v/>
      </c>
      <c r="AG20" s="239" t="str">
        <f t="shared" si="16"/>
        <v/>
      </c>
      <c r="AH20" s="240" t="str">
        <f t="shared" si="17"/>
        <v/>
      </c>
      <c r="AI20" s="241">
        <f>SUMIF(C14:C21,4,AA14:AA21)+SUMIF(D14:D21,4,AB14:AB21)</f>
        <v>0</v>
      </c>
      <c r="AJ20" s="241" t="str">
        <f>IF(AI20&lt;&gt;0,RANK(AI20,AI14:AI21),"")</f>
        <v/>
      </c>
      <c r="AK20" s="242"/>
      <c r="AL20" s="219"/>
      <c r="AM20" s="292">
        <v>4</v>
      </c>
      <c r="AN20" s="294">
        <f>B17</f>
        <v>0</v>
      </c>
      <c r="AO20" s="296">
        <f>IF(AN20=0,0,VLOOKUP(AN20,SORTEIO!$A$21:$C$37,2,FALSE))</f>
        <v>0</v>
      </c>
      <c r="AP20" s="298">
        <f>IF(AN20=0,0,VLOOKUP(AN20,SORTEIO!$A$21:$C$37,3,FALSE))</f>
        <v>0</v>
      </c>
      <c r="AQ20" s="270" t="str">
        <f>IF(AND(Y18=0,Z18=0),"",Z18&amp;" - "&amp;Y18)</f>
        <v/>
      </c>
      <c r="AR20" s="272" t="str">
        <f>IF(AND(Y15=0,Z15=0),"",Z15&amp;" - "&amp;Y15)</f>
        <v/>
      </c>
      <c r="AS20" s="272" t="str">
        <f>IF(AND(Y17=0,Z17=0),"",Z17&amp;" - "&amp;Y17)</f>
        <v/>
      </c>
      <c r="AT20" s="280"/>
      <c r="AU20" s="276">
        <f>AI20</f>
        <v>0</v>
      </c>
      <c r="AV20" s="310" t="str">
        <f t="shared" ref="AV20" si="21">IF(AJ21="",AJ20,AJ21)</f>
        <v/>
      </c>
      <c r="AY20" s="30">
        <f>AO20</f>
        <v>0</v>
      </c>
      <c r="AZ20" s="30">
        <f>AP20</f>
        <v>0</v>
      </c>
    </row>
    <row r="21" spans="1:52" ht="15.75" thickBot="1" x14ac:dyDescent="0.3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93"/>
      <c r="AN21" s="295"/>
      <c r="AO21" s="297"/>
      <c r="AP21" s="299"/>
      <c r="AQ21" s="271"/>
      <c r="AR21" s="273"/>
      <c r="AS21" s="273"/>
      <c r="AT21" s="281"/>
      <c r="AU21" s="277"/>
      <c r="AV21" s="311"/>
    </row>
    <row r="22" spans="1:52" x14ac:dyDescent="0.25">
      <c r="A22" s="200"/>
      <c r="B22" s="231"/>
      <c r="C22" s="200"/>
      <c r="D22" s="243" t="s">
        <v>60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</row>
    <row r="23" spans="1:52" x14ac:dyDescent="0.25">
      <c r="A23" s="200"/>
      <c r="B23" s="233"/>
      <c r="C23" s="234"/>
      <c r="D23" s="243" t="s">
        <v>111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44" t="s">
        <v>5</v>
      </c>
      <c r="AP23" s="200"/>
      <c r="AR23" s="30" t="s">
        <v>18</v>
      </c>
    </row>
    <row r="24" spans="1:52" x14ac:dyDescent="0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12" t="s">
        <v>6</v>
      </c>
      <c r="AP24" s="245" t="s">
        <v>7</v>
      </c>
      <c r="AQ24" s="34" t="s">
        <v>12</v>
      </c>
      <c r="AR24" s="264" t="e">
        <f>VLOOKUP(1,AV$14:AZ$21,4,FALSE)</f>
        <v>#N/A</v>
      </c>
      <c r="AS24" s="265"/>
      <c r="AT24" s="266"/>
      <c r="AU24" s="267" t="e">
        <f>VLOOKUP(1,AV$14:AZ$21,5,FALSE)</f>
        <v>#N/A</v>
      </c>
      <c r="AV24" s="268"/>
    </row>
    <row r="25" spans="1:52" x14ac:dyDescent="0.2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12" t="s">
        <v>8</v>
      </c>
      <c r="AP25" s="246" t="s">
        <v>9</v>
      </c>
      <c r="AQ25" s="34" t="s">
        <v>13</v>
      </c>
      <c r="AR25" s="264" t="e">
        <f>VLOOKUP(2,AV$14:AZ$21,4,FALSE)</f>
        <v>#N/A</v>
      </c>
      <c r="AS25" s="265"/>
      <c r="AT25" s="266"/>
      <c r="AU25" s="267" t="e">
        <f>VLOOKUP(2,AV$14:AZ$21,5,FALSE)</f>
        <v>#N/A</v>
      </c>
      <c r="AV25" s="268"/>
    </row>
    <row r="26" spans="1:52" x14ac:dyDescent="0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12" t="s">
        <v>10</v>
      </c>
      <c r="AP26" s="246" t="s">
        <v>11</v>
      </c>
      <c r="AQ26" s="34" t="s">
        <v>14</v>
      </c>
      <c r="AR26" s="264" t="e">
        <f>VLOOKUP(3,AV$14:AZ$21,4,FALSE)</f>
        <v>#N/A</v>
      </c>
      <c r="AS26" s="265"/>
      <c r="AT26" s="266"/>
      <c r="AU26" s="267" t="e">
        <f>VLOOKUP(3,AV$14:AZ$21,5,FALSE)</f>
        <v>#N/A</v>
      </c>
      <c r="AV26" s="268"/>
    </row>
    <row r="27" spans="1:52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34" t="s">
        <v>15</v>
      </c>
      <c r="AR27" s="264" t="e">
        <f>VLOOKUP(4,AV$14:AZ$21,4,FALSE)</f>
        <v>#N/A</v>
      </c>
      <c r="AS27" s="265"/>
      <c r="AT27" s="266"/>
      <c r="AU27" s="267" t="e">
        <f>VLOOKUP(4,AV$14:AZ$21,5,FALSE)</f>
        <v>#N/A</v>
      </c>
      <c r="AV27" s="268"/>
    </row>
    <row r="28" spans="1:52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13"/>
      <c r="AS28" s="213"/>
      <c r="AT28" s="213"/>
      <c r="AU28" s="213"/>
      <c r="AV28" s="213"/>
    </row>
    <row r="29" spans="1:52" ht="15.75" thickBot="1" x14ac:dyDescent="0.3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</row>
    <row r="30" spans="1:52" ht="95.25" customHeight="1" thickBot="1" x14ac:dyDescent="0.3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14" t="s">
        <v>56</v>
      </c>
      <c r="AP30" s="200"/>
      <c r="AQ30" s="284">
        <f>AO32</f>
        <v>0</v>
      </c>
      <c r="AR30" s="286">
        <f>AO34</f>
        <v>0</v>
      </c>
      <c r="AS30" s="305">
        <f>AO36</f>
        <v>0</v>
      </c>
      <c r="AT30" s="288">
        <f>AO38</f>
        <v>0</v>
      </c>
      <c r="AU30" s="200"/>
      <c r="AV30" s="200"/>
    </row>
    <row r="31" spans="1:52" ht="18" customHeight="1" thickBot="1" x14ac:dyDescent="0.3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11"/>
      <c r="AN31" s="211"/>
      <c r="AO31" s="215" t="s">
        <v>4</v>
      </c>
      <c r="AP31" s="216" t="s">
        <v>77</v>
      </c>
      <c r="AQ31" s="285"/>
      <c r="AR31" s="287"/>
      <c r="AS31" s="306"/>
      <c r="AT31" s="289"/>
      <c r="AU31" s="217" t="s">
        <v>16</v>
      </c>
      <c r="AV31" s="218" t="s">
        <v>17</v>
      </c>
    </row>
    <row r="32" spans="1:52" ht="15" customHeight="1" x14ac:dyDescent="0.25">
      <c r="A32" s="5">
        <v>1</v>
      </c>
      <c r="B32" s="194"/>
      <c r="C32" s="230">
        <v>1</v>
      </c>
      <c r="D32" s="230">
        <v>3</v>
      </c>
      <c r="E32" s="179"/>
      <c r="F32" s="180"/>
      <c r="G32" s="188"/>
      <c r="H32" s="189"/>
      <c r="I32" s="179"/>
      <c r="J32" s="180"/>
      <c r="K32" s="188"/>
      <c r="L32" s="189"/>
      <c r="M32" s="185"/>
      <c r="N32" s="180"/>
      <c r="O32" s="236">
        <f t="shared" ref="O32:O38" si="22">IF(E32="wo",0,IF(F32="wo",1,IF(E32&gt;F32,1,0)))</f>
        <v>0</v>
      </c>
      <c r="P32" s="236">
        <f t="shared" ref="P32:P38" si="23">IF(E32="wo",1,IF(F32="wo",0,IF(F32&gt;E32,1,0)))</f>
        <v>0</v>
      </c>
      <c r="Q32" s="236">
        <f t="shared" ref="Q32:Q38" si="24">IF(G32="wo",0,IF(H32="wo",1,IF(G32&gt;H32,1,0)))</f>
        <v>0</v>
      </c>
      <c r="R32" s="236">
        <f t="shared" ref="R32:R38" si="25">IF(G32="wo",1,IF(H32="wo",0,IF(H32&gt;G32,1,0)))</f>
        <v>0</v>
      </c>
      <c r="S32" s="236">
        <f t="shared" ref="S32:S38" si="26">IF(I32="wo",0,IF(J32="wo",1,IF(I32&gt;J32,1,0)))</f>
        <v>0</v>
      </c>
      <c r="T32" s="236">
        <f t="shared" ref="T32:T38" si="27">IF(I32="wo",1,IF(J32="wo",0,IF(J32&gt;I32,1,0)))</f>
        <v>0</v>
      </c>
      <c r="U32" s="236">
        <f t="shared" ref="U32:U38" si="28">IF(K32="wo",0,IF(L32="wo",1,IF(K32&gt;L32,1,0)))</f>
        <v>0</v>
      </c>
      <c r="V32" s="236">
        <f t="shared" ref="V32:V38" si="29">IF(K32="wo",1,IF(L32="wo",0,IF(L32&gt;K32,1,0)))</f>
        <v>0</v>
      </c>
      <c r="W32" s="236">
        <f t="shared" ref="W32:W38" si="30">IF(M32="wo",0,IF(N32="wo",1,IF(M32&gt;N32,1,0)))</f>
        <v>0</v>
      </c>
      <c r="X32" s="236">
        <f t="shared" ref="X32:X38" si="31">IF(M32="wo",1,IF(N32="wo",0,IF(N32&gt;M32,1,0)))</f>
        <v>0</v>
      </c>
      <c r="Y32" s="237">
        <f t="shared" ref="Y32:Y38" si="32">IF(E32="wo","wo",+O32+Q32+S32+U32+W32)</f>
        <v>0</v>
      </c>
      <c r="Z32" s="237">
        <f t="shared" ref="Z32:Z38" si="33">IF(F32="wo","wo",+P32+R32+T32+V32+X32)</f>
        <v>0</v>
      </c>
      <c r="AA32" s="238">
        <f t="shared" ref="AA32:AA38" si="34">IF(E32="",0,IF(E32="wo",0,IF(F32="wo",2,IF(Y32=Z32,0,IF(Y32&gt;Z32,2,1)))))</f>
        <v>0</v>
      </c>
      <c r="AB32" s="238">
        <f t="shared" ref="AB32:AB38" si="35">IF(F32="",0,IF(F32="wo",0,IF(E32="wo",2,IF(Z32=Y32,0,IF(Z32&gt;Y32,2,1)))))</f>
        <v>0</v>
      </c>
      <c r="AC32" s="239" t="str">
        <f t="shared" ref="AC32:AC38" si="36">IF(E32="","",IF(E32="wo",0,IF(F32="wo",0,IF(E32=F32,"ERROR",IF(E32&gt;F32,F32,-1*E32)))))</f>
        <v/>
      </c>
      <c r="AD32" s="239" t="str">
        <f t="shared" ref="AD32:AD38" si="37">IF(G32="","",IF(G32="wo",0,IF(H32="wo",0,IF(G32=H32,"ERROR",IF(G32&gt;H32,H32,-1*G32)))))</f>
        <v/>
      </c>
      <c r="AE32" s="239" t="str">
        <f t="shared" ref="AE32:AE38" si="38">IF(I32="","",IF(I32="wo",0,IF(J32="wo",0,IF(I32=J32,"ERROR",IF(I32&gt;J32,J32,-1*I32)))))</f>
        <v/>
      </c>
      <c r="AF32" s="239" t="str">
        <f t="shared" ref="AF32:AF38" si="39">IF(K32="","",IF(K32="wo",0,IF(L32="wo",0,IF(K32=L32,"ERROR",IF(K32&gt;L32,L32,-1*K32)))))</f>
        <v/>
      </c>
      <c r="AG32" s="239" t="str">
        <f t="shared" ref="AG32:AG38" si="40">IF(M32="","",IF(M32="wo",0,IF(N32="wo",0,IF(M32=N32,"ERROR",IF(M32&gt;N32,N32,-1*M32)))))</f>
        <v/>
      </c>
      <c r="AH32" s="240" t="str">
        <f t="shared" ref="AH32:AH38" si="41">IF(E32="","",(IF(K32="",AC32&amp;", "&amp;AD32&amp;", "&amp;AE32,IF(M32="",AC32&amp;", "&amp;AD32&amp;", "&amp;AE32&amp;", "&amp;AF32,AC32&amp;","&amp;AD32&amp;","&amp;AE32&amp;","&amp;AF32&amp;","&amp;AG32))))</f>
        <v/>
      </c>
      <c r="AI32" s="241">
        <f>SUMIF(C32:C39,1,AA32:AA39)+SUMIF(D32:D39,1,AB32:AB39)</f>
        <v>0</v>
      </c>
      <c r="AJ32" s="241" t="str">
        <f>IF(AI32&lt;&gt;0,RANK(AI32,AI32:AI39),"")</f>
        <v/>
      </c>
      <c r="AK32" s="242"/>
      <c r="AL32" s="219"/>
      <c r="AM32" s="308">
        <v>1</v>
      </c>
      <c r="AN32" s="290">
        <f>B32</f>
        <v>0</v>
      </c>
      <c r="AO32" s="309">
        <f>IF(AN32=0,0,VLOOKUP(AN32,SORTEIO!$A$21:$C$37,2,FALSE))</f>
        <v>0</v>
      </c>
      <c r="AP32" s="300">
        <f>IF(AN32=0,0,VLOOKUP(AN32,SORTEIO!$A$21:$C$37,3,FALSE))</f>
        <v>0</v>
      </c>
      <c r="AQ32" s="302"/>
      <c r="AR32" s="220" t="str">
        <f>IF(AND(Y34=0,Z34=0),"",Y34&amp;" - "&amp;Z34)</f>
        <v/>
      </c>
      <c r="AS32" s="221" t="str">
        <f>IF(AND(Y32=0,Z32=0),"",Y32&amp;" - "&amp;Z32)</f>
        <v/>
      </c>
      <c r="AT32" s="222" t="str">
        <f>IF(AND(Y36=0,Z36=0),"",Y36&amp;" - "&amp;Z36)</f>
        <v/>
      </c>
      <c r="AU32" s="315">
        <f>AI32</f>
        <v>0</v>
      </c>
      <c r="AV32" s="317" t="str">
        <f>IF(AJ33="",AJ32,AJ33)</f>
        <v/>
      </c>
      <c r="AY32" s="30">
        <f>AO32</f>
        <v>0</v>
      </c>
      <c r="AZ32" s="30">
        <f>AP32</f>
        <v>0</v>
      </c>
    </row>
    <row r="33" spans="1:52" ht="15" customHeight="1" x14ac:dyDescent="0.25">
      <c r="A33" s="5">
        <v>2</v>
      </c>
      <c r="B33" s="195"/>
      <c r="C33" s="230">
        <v>2</v>
      </c>
      <c r="D33" s="230">
        <v>4</v>
      </c>
      <c r="E33" s="181"/>
      <c r="F33" s="182"/>
      <c r="G33" s="190"/>
      <c r="H33" s="191"/>
      <c r="I33" s="181"/>
      <c r="J33" s="182"/>
      <c r="K33" s="190"/>
      <c r="L33" s="191"/>
      <c r="M33" s="186"/>
      <c r="N33" s="182"/>
      <c r="O33" s="236">
        <f t="shared" si="22"/>
        <v>0</v>
      </c>
      <c r="P33" s="236">
        <f t="shared" si="23"/>
        <v>0</v>
      </c>
      <c r="Q33" s="236">
        <f t="shared" si="24"/>
        <v>0</v>
      </c>
      <c r="R33" s="236">
        <f t="shared" si="25"/>
        <v>0</v>
      </c>
      <c r="S33" s="236">
        <f t="shared" si="26"/>
        <v>0</v>
      </c>
      <c r="T33" s="236">
        <f t="shared" si="27"/>
        <v>0</v>
      </c>
      <c r="U33" s="236">
        <f t="shared" si="28"/>
        <v>0</v>
      </c>
      <c r="V33" s="236">
        <f t="shared" si="29"/>
        <v>0</v>
      </c>
      <c r="W33" s="236">
        <f t="shared" si="30"/>
        <v>0</v>
      </c>
      <c r="X33" s="236">
        <f t="shared" si="31"/>
        <v>0</v>
      </c>
      <c r="Y33" s="237">
        <f t="shared" si="32"/>
        <v>0</v>
      </c>
      <c r="Z33" s="237">
        <f t="shared" si="33"/>
        <v>0</v>
      </c>
      <c r="AA33" s="238">
        <f t="shared" si="34"/>
        <v>0</v>
      </c>
      <c r="AB33" s="238">
        <f t="shared" si="35"/>
        <v>0</v>
      </c>
      <c r="AC33" s="239" t="str">
        <f t="shared" si="36"/>
        <v/>
      </c>
      <c r="AD33" s="239" t="str">
        <f t="shared" si="37"/>
        <v/>
      </c>
      <c r="AE33" s="239" t="str">
        <f t="shared" si="38"/>
        <v/>
      </c>
      <c r="AF33" s="239" t="str">
        <f t="shared" si="39"/>
        <v/>
      </c>
      <c r="AG33" s="239" t="str">
        <f t="shared" si="40"/>
        <v/>
      </c>
      <c r="AH33" s="240" t="str">
        <f t="shared" si="41"/>
        <v/>
      </c>
      <c r="AI33" s="241"/>
      <c r="AJ33" s="247"/>
      <c r="AK33" s="242"/>
      <c r="AL33" s="219"/>
      <c r="AM33" s="307"/>
      <c r="AN33" s="291"/>
      <c r="AO33" s="304"/>
      <c r="AP33" s="301"/>
      <c r="AQ33" s="303"/>
      <c r="AR33" s="223" t="str">
        <f>AH34</f>
        <v/>
      </c>
      <c r="AS33" s="224" t="str">
        <f>AH32</f>
        <v/>
      </c>
      <c r="AT33" s="225" t="str">
        <f>AH36</f>
        <v/>
      </c>
      <c r="AU33" s="316"/>
      <c r="AV33" s="318"/>
    </row>
    <row r="34" spans="1:52" ht="15" customHeight="1" x14ac:dyDescent="0.25">
      <c r="A34" s="5">
        <v>3</v>
      </c>
      <c r="B34" s="195"/>
      <c r="C34" s="230">
        <v>1</v>
      </c>
      <c r="D34" s="230">
        <v>2</v>
      </c>
      <c r="E34" s="181"/>
      <c r="F34" s="182"/>
      <c r="G34" s="190"/>
      <c r="H34" s="191"/>
      <c r="I34" s="181"/>
      <c r="J34" s="182"/>
      <c r="K34" s="190"/>
      <c r="L34" s="191"/>
      <c r="M34" s="186"/>
      <c r="N34" s="182"/>
      <c r="O34" s="236">
        <f t="shared" si="22"/>
        <v>0</v>
      </c>
      <c r="P34" s="236">
        <f t="shared" si="23"/>
        <v>0</v>
      </c>
      <c r="Q34" s="236">
        <f t="shared" si="24"/>
        <v>0</v>
      </c>
      <c r="R34" s="236">
        <f t="shared" si="25"/>
        <v>0</v>
      </c>
      <c r="S34" s="236">
        <f t="shared" si="26"/>
        <v>0</v>
      </c>
      <c r="T34" s="236">
        <f t="shared" si="27"/>
        <v>0</v>
      </c>
      <c r="U34" s="236">
        <f t="shared" si="28"/>
        <v>0</v>
      </c>
      <c r="V34" s="236">
        <f t="shared" si="29"/>
        <v>0</v>
      </c>
      <c r="W34" s="236">
        <f t="shared" si="30"/>
        <v>0</v>
      </c>
      <c r="X34" s="236">
        <f t="shared" si="31"/>
        <v>0</v>
      </c>
      <c r="Y34" s="237">
        <f t="shared" si="32"/>
        <v>0</v>
      </c>
      <c r="Z34" s="237">
        <f t="shared" si="33"/>
        <v>0</v>
      </c>
      <c r="AA34" s="238">
        <f t="shared" si="34"/>
        <v>0</v>
      </c>
      <c r="AB34" s="238">
        <f t="shared" si="35"/>
        <v>0</v>
      </c>
      <c r="AC34" s="239" t="str">
        <f t="shared" si="36"/>
        <v/>
      </c>
      <c r="AD34" s="239" t="str">
        <f t="shared" si="37"/>
        <v/>
      </c>
      <c r="AE34" s="239" t="str">
        <f t="shared" si="38"/>
        <v/>
      </c>
      <c r="AF34" s="239" t="str">
        <f t="shared" si="39"/>
        <v/>
      </c>
      <c r="AG34" s="239" t="str">
        <f t="shared" si="40"/>
        <v/>
      </c>
      <c r="AH34" s="240" t="str">
        <f t="shared" si="41"/>
        <v/>
      </c>
      <c r="AI34" s="241">
        <f>SUMIF(C32:C39,2,AA32:AA39)+SUMIF(D32:D39,2,AB32:AB39)</f>
        <v>0</v>
      </c>
      <c r="AJ34" s="241" t="str">
        <f>IF(AI34&lt;&gt;0,RANK(AI34,AI32:AI39),"")</f>
        <v/>
      </c>
      <c r="AK34" s="242"/>
      <c r="AL34" s="219"/>
      <c r="AM34" s="292">
        <v>2</v>
      </c>
      <c r="AN34" s="294">
        <f>B33</f>
        <v>0</v>
      </c>
      <c r="AO34" s="296">
        <f>IF(AN34=0,0,VLOOKUP(AN34,SORTEIO!$A$21:$C$37,2,FALSE))</f>
        <v>0</v>
      </c>
      <c r="AP34" s="298">
        <f>IF(AN34=0,0,VLOOKUP(AN34,SORTEIO!$A$21:$C$37,3,FALSE))</f>
        <v>0</v>
      </c>
      <c r="AQ34" s="319" t="str">
        <f>IF(AND(Y34=0,Z34=0),"",Z34&amp;" - "&amp;Y34)</f>
        <v/>
      </c>
      <c r="AR34" s="321"/>
      <c r="AS34" s="226" t="str">
        <f>IF(AND(Y37=0,Z37=0),"",Y37&amp;" - "&amp;Z37)</f>
        <v/>
      </c>
      <c r="AT34" s="227" t="str">
        <f>IF(AND(Y33=0,Z33=0),"",Y33&amp;" - "&amp;Z33)</f>
        <v/>
      </c>
      <c r="AU34" s="323">
        <f>AI34</f>
        <v>0</v>
      </c>
      <c r="AV34" s="324" t="str">
        <f t="shared" ref="AV34" si="42">IF(AJ35="",AJ34,AJ35)</f>
        <v/>
      </c>
      <c r="AY34" s="30">
        <f>AO34</f>
        <v>0</v>
      </c>
      <c r="AZ34" s="30">
        <f>AP34</f>
        <v>0</v>
      </c>
    </row>
    <row r="35" spans="1:52" ht="15" customHeight="1" thickBot="1" x14ac:dyDescent="0.3">
      <c r="A35" s="5">
        <v>4</v>
      </c>
      <c r="B35" s="196"/>
      <c r="C35" s="230">
        <v>3</v>
      </c>
      <c r="D35" s="230">
        <v>4</v>
      </c>
      <c r="E35" s="181"/>
      <c r="F35" s="182"/>
      <c r="G35" s="190"/>
      <c r="H35" s="191"/>
      <c r="I35" s="181"/>
      <c r="J35" s="182"/>
      <c r="K35" s="190"/>
      <c r="L35" s="191"/>
      <c r="M35" s="186"/>
      <c r="N35" s="182"/>
      <c r="O35" s="236">
        <f t="shared" si="22"/>
        <v>0</v>
      </c>
      <c r="P35" s="236">
        <f t="shared" si="23"/>
        <v>0</v>
      </c>
      <c r="Q35" s="236">
        <f t="shared" si="24"/>
        <v>0</v>
      </c>
      <c r="R35" s="236">
        <f t="shared" si="25"/>
        <v>0</v>
      </c>
      <c r="S35" s="236">
        <f t="shared" si="26"/>
        <v>0</v>
      </c>
      <c r="T35" s="236">
        <f t="shared" si="27"/>
        <v>0</v>
      </c>
      <c r="U35" s="236">
        <f t="shared" si="28"/>
        <v>0</v>
      </c>
      <c r="V35" s="236">
        <f t="shared" si="29"/>
        <v>0</v>
      </c>
      <c r="W35" s="236">
        <f t="shared" si="30"/>
        <v>0</v>
      </c>
      <c r="X35" s="236">
        <f t="shared" si="31"/>
        <v>0</v>
      </c>
      <c r="Y35" s="237">
        <f t="shared" si="32"/>
        <v>0</v>
      </c>
      <c r="Z35" s="237">
        <f t="shared" si="33"/>
        <v>0</v>
      </c>
      <c r="AA35" s="238">
        <f t="shared" si="34"/>
        <v>0</v>
      </c>
      <c r="AB35" s="238">
        <f t="shared" si="35"/>
        <v>0</v>
      </c>
      <c r="AC35" s="239" t="str">
        <f t="shared" si="36"/>
        <v/>
      </c>
      <c r="AD35" s="239" t="str">
        <f t="shared" si="37"/>
        <v/>
      </c>
      <c r="AE35" s="239" t="str">
        <f t="shared" si="38"/>
        <v/>
      </c>
      <c r="AF35" s="239" t="str">
        <f t="shared" si="39"/>
        <v/>
      </c>
      <c r="AG35" s="239" t="str">
        <f t="shared" si="40"/>
        <v/>
      </c>
      <c r="AH35" s="240" t="str">
        <f t="shared" si="41"/>
        <v/>
      </c>
      <c r="AI35" s="241"/>
      <c r="AJ35" s="247"/>
      <c r="AK35" s="242"/>
      <c r="AL35" s="219"/>
      <c r="AM35" s="292"/>
      <c r="AN35" s="294"/>
      <c r="AO35" s="296"/>
      <c r="AP35" s="298"/>
      <c r="AQ35" s="320"/>
      <c r="AR35" s="322"/>
      <c r="AS35" s="224" t="str">
        <f>AH37</f>
        <v/>
      </c>
      <c r="AT35" s="225" t="str">
        <f>AH33</f>
        <v/>
      </c>
      <c r="AU35" s="316"/>
      <c r="AV35" s="318"/>
      <c r="AW35" s="35"/>
    </row>
    <row r="36" spans="1:52" ht="15" customHeight="1" x14ac:dyDescent="0.25">
      <c r="A36" s="5" t="str">
        <f>IF(B31=5,5,"")</f>
        <v/>
      </c>
      <c r="B36" s="231"/>
      <c r="C36" s="230">
        <v>1</v>
      </c>
      <c r="D36" s="230">
        <v>4</v>
      </c>
      <c r="E36" s="181"/>
      <c r="F36" s="182"/>
      <c r="G36" s="190"/>
      <c r="H36" s="191"/>
      <c r="I36" s="181"/>
      <c r="J36" s="182"/>
      <c r="K36" s="190"/>
      <c r="L36" s="191"/>
      <c r="M36" s="186"/>
      <c r="N36" s="182"/>
      <c r="O36" s="236">
        <f t="shared" si="22"/>
        <v>0</v>
      </c>
      <c r="P36" s="236">
        <f t="shared" si="23"/>
        <v>0</v>
      </c>
      <c r="Q36" s="236">
        <f t="shared" si="24"/>
        <v>0</v>
      </c>
      <c r="R36" s="236">
        <f t="shared" si="25"/>
        <v>0</v>
      </c>
      <c r="S36" s="236">
        <f t="shared" si="26"/>
        <v>0</v>
      </c>
      <c r="T36" s="236">
        <f t="shared" si="27"/>
        <v>0</v>
      </c>
      <c r="U36" s="236">
        <f t="shared" si="28"/>
        <v>0</v>
      </c>
      <c r="V36" s="236">
        <f t="shared" si="29"/>
        <v>0</v>
      </c>
      <c r="W36" s="236">
        <f t="shared" si="30"/>
        <v>0</v>
      </c>
      <c r="X36" s="236">
        <f t="shared" si="31"/>
        <v>0</v>
      </c>
      <c r="Y36" s="237">
        <f t="shared" si="32"/>
        <v>0</v>
      </c>
      <c r="Z36" s="237">
        <f t="shared" si="33"/>
        <v>0</v>
      </c>
      <c r="AA36" s="238">
        <f t="shared" si="34"/>
        <v>0</v>
      </c>
      <c r="AB36" s="238">
        <f t="shared" si="35"/>
        <v>0</v>
      </c>
      <c r="AC36" s="239" t="str">
        <f t="shared" si="36"/>
        <v/>
      </c>
      <c r="AD36" s="239" t="str">
        <f t="shared" si="37"/>
        <v/>
      </c>
      <c r="AE36" s="239" t="str">
        <f t="shared" si="38"/>
        <v/>
      </c>
      <c r="AF36" s="239" t="str">
        <f t="shared" si="39"/>
        <v/>
      </c>
      <c r="AG36" s="239" t="str">
        <f t="shared" si="40"/>
        <v/>
      </c>
      <c r="AH36" s="240" t="str">
        <f t="shared" si="41"/>
        <v/>
      </c>
      <c r="AI36" s="241">
        <f>SUMIF(C32:C39,3,AA32:AA39)+SUMIF(D32:D39,3,AB32:AB39)</f>
        <v>0</v>
      </c>
      <c r="AJ36" s="241" t="str">
        <f>IF(AI36&lt;&gt;0,RANK(AI36,AI32:AI39),"")</f>
        <v/>
      </c>
      <c r="AK36" s="242"/>
      <c r="AL36" s="219"/>
      <c r="AM36" s="307">
        <v>3</v>
      </c>
      <c r="AN36" s="291">
        <f>B34</f>
        <v>0</v>
      </c>
      <c r="AO36" s="304">
        <f>IF(AN36=0,0,VLOOKUP(AN36,SORTEIO!$A$21:$C$37,2,FALSE))</f>
        <v>0</v>
      </c>
      <c r="AP36" s="301">
        <f>IF(AN36=0,0,VLOOKUP(AN36,SORTEIO!$A$21:$C$37,3,FALSE))</f>
        <v>0</v>
      </c>
      <c r="AQ36" s="278" t="str">
        <f>IF(AND(Y32=0,Z32=0),"",Z32&amp;" - "&amp;Y32)</f>
        <v/>
      </c>
      <c r="AR36" s="269" t="str">
        <f>IF(AND(Y37=0,Z37=0),"",Z37&amp;" - "&amp;Y37)</f>
        <v/>
      </c>
      <c r="AS36" s="282"/>
      <c r="AT36" s="228" t="str">
        <f>IF(AND(Y35=0,Z35=0),"",Y35&amp;" - "&amp;Z35)</f>
        <v/>
      </c>
      <c r="AU36" s="275">
        <f>AI36</f>
        <v>0</v>
      </c>
      <c r="AV36" s="310" t="str">
        <f t="shared" ref="AV36" si="43">IF(AJ37="",AJ36,AJ37)</f>
        <v/>
      </c>
      <c r="AY36" s="30">
        <f>AO36</f>
        <v>0</v>
      </c>
      <c r="AZ36" s="30">
        <f>AP36</f>
        <v>0</v>
      </c>
    </row>
    <row r="37" spans="1:52" ht="15" customHeight="1" thickBot="1" x14ac:dyDescent="0.3">
      <c r="A37" s="14"/>
      <c r="B37" s="14"/>
      <c r="C37" s="230">
        <v>2</v>
      </c>
      <c r="D37" s="230">
        <v>3</v>
      </c>
      <c r="E37" s="183"/>
      <c r="F37" s="184"/>
      <c r="G37" s="192"/>
      <c r="H37" s="193"/>
      <c r="I37" s="183"/>
      <c r="J37" s="184"/>
      <c r="K37" s="192"/>
      <c r="L37" s="193"/>
      <c r="M37" s="187"/>
      <c r="N37" s="184"/>
      <c r="O37" s="236">
        <f t="shared" si="22"/>
        <v>0</v>
      </c>
      <c r="P37" s="236">
        <f t="shared" si="23"/>
        <v>0</v>
      </c>
      <c r="Q37" s="236">
        <f t="shared" si="24"/>
        <v>0</v>
      </c>
      <c r="R37" s="236">
        <f t="shared" si="25"/>
        <v>0</v>
      </c>
      <c r="S37" s="236">
        <f t="shared" si="26"/>
        <v>0</v>
      </c>
      <c r="T37" s="236">
        <f t="shared" si="27"/>
        <v>0</v>
      </c>
      <c r="U37" s="236">
        <f t="shared" si="28"/>
        <v>0</v>
      </c>
      <c r="V37" s="236">
        <f t="shared" si="29"/>
        <v>0</v>
      </c>
      <c r="W37" s="236">
        <f t="shared" si="30"/>
        <v>0</v>
      </c>
      <c r="X37" s="236">
        <f t="shared" si="31"/>
        <v>0</v>
      </c>
      <c r="Y37" s="237">
        <f t="shared" si="32"/>
        <v>0</v>
      </c>
      <c r="Z37" s="237">
        <f t="shared" si="33"/>
        <v>0</v>
      </c>
      <c r="AA37" s="238">
        <f t="shared" si="34"/>
        <v>0</v>
      </c>
      <c r="AB37" s="238">
        <f t="shared" si="35"/>
        <v>0</v>
      </c>
      <c r="AC37" s="239" t="str">
        <f t="shared" si="36"/>
        <v/>
      </c>
      <c r="AD37" s="239" t="str">
        <f t="shared" si="37"/>
        <v/>
      </c>
      <c r="AE37" s="239" t="str">
        <f t="shared" si="38"/>
        <v/>
      </c>
      <c r="AF37" s="239" t="str">
        <f t="shared" si="39"/>
        <v/>
      </c>
      <c r="AG37" s="239" t="str">
        <f t="shared" si="40"/>
        <v/>
      </c>
      <c r="AH37" s="240" t="str">
        <f t="shared" si="41"/>
        <v/>
      </c>
      <c r="AI37" s="241"/>
      <c r="AJ37" s="247"/>
      <c r="AK37" s="242"/>
      <c r="AL37" s="219"/>
      <c r="AM37" s="307"/>
      <c r="AN37" s="291"/>
      <c r="AO37" s="304"/>
      <c r="AP37" s="301"/>
      <c r="AQ37" s="278"/>
      <c r="AR37" s="269"/>
      <c r="AS37" s="282"/>
      <c r="AT37" s="229" t="str">
        <f>AH35</f>
        <v/>
      </c>
      <c r="AU37" s="275"/>
      <c r="AV37" s="310"/>
    </row>
    <row r="38" spans="1:52" ht="15" customHeight="1" x14ac:dyDescent="0.25">
      <c r="A38" s="14"/>
      <c r="B38" s="14"/>
      <c r="C38" s="230"/>
      <c r="D38" s="230"/>
      <c r="E38" s="232"/>
      <c r="F38" s="233"/>
      <c r="G38" s="234"/>
      <c r="H38" s="235"/>
      <c r="I38" s="232"/>
      <c r="J38" s="233"/>
      <c r="K38" s="234"/>
      <c r="L38" s="235"/>
      <c r="M38" s="232"/>
      <c r="N38" s="233"/>
      <c r="O38" s="236">
        <f t="shared" si="22"/>
        <v>0</v>
      </c>
      <c r="P38" s="236">
        <f t="shared" si="23"/>
        <v>0</v>
      </c>
      <c r="Q38" s="236">
        <f t="shared" si="24"/>
        <v>0</v>
      </c>
      <c r="R38" s="236">
        <f t="shared" si="25"/>
        <v>0</v>
      </c>
      <c r="S38" s="236">
        <f t="shared" si="26"/>
        <v>0</v>
      </c>
      <c r="T38" s="236">
        <f t="shared" si="27"/>
        <v>0</v>
      </c>
      <c r="U38" s="236">
        <f t="shared" si="28"/>
        <v>0</v>
      </c>
      <c r="V38" s="236">
        <f t="shared" si="29"/>
        <v>0</v>
      </c>
      <c r="W38" s="236">
        <f t="shared" si="30"/>
        <v>0</v>
      </c>
      <c r="X38" s="236">
        <f t="shared" si="31"/>
        <v>0</v>
      </c>
      <c r="Y38" s="237">
        <f t="shared" si="32"/>
        <v>0</v>
      </c>
      <c r="Z38" s="237">
        <f t="shared" si="33"/>
        <v>0</v>
      </c>
      <c r="AA38" s="238">
        <f t="shared" si="34"/>
        <v>0</v>
      </c>
      <c r="AB38" s="238">
        <f t="shared" si="35"/>
        <v>0</v>
      </c>
      <c r="AC38" s="239" t="str">
        <f t="shared" si="36"/>
        <v/>
      </c>
      <c r="AD38" s="239" t="str">
        <f t="shared" si="37"/>
        <v/>
      </c>
      <c r="AE38" s="239" t="str">
        <f t="shared" si="38"/>
        <v/>
      </c>
      <c r="AF38" s="239" t="str">
        <f t="shared" si="39"/>
        <v/>
      </c>
      <c r="AG38" s="239" t="str">
        <f t="shared" si="40"/>
        <v/>
      </c>
      <c r="AH38" s="240" t="str">
        <f t="shared" si="41"/>
        <v/>
      </c>
      <c r="AI38" s="241">
        <f>SUMIF(C32:C39,4,AA32:AA39)+SUMIF(D32:D39,4,AB32:AB39)</f>
        <v>0</v>
      </c>
      <c r="AJ38" s="241" t="str">
        <f>IF(AI38&lt;&gt;0,RANK(AI38,AI32:AI39),"")</f>
        <v/>
      </c>
      <c r="AK38" s="242"/>
      <c r="AL38" s="219"/>
      <c r="AM38" s="292">
        <v>4</v>
      </c>
      <c r="AN38" s="294">
        <f>B35</f>
        <v>0</v>
      </c>
      <c r="AO38" s="296">
        <f>IF(AN38=0,0,VLOOKUP(AN38,SORTEIO!$A$21:$C$37,2,FALSE))</f>
        <v>0</v>
      </c>
      <c r="AP38" s="298">
        <f>IF(AN38=0,0,VLOOKUP(AN38,SORTEIO!$A$21:$C$37,3,FALSE))</f>
        <v>0</v>
      </c>
      <c r="AQ38" s="270" t="str">
        <f>IF(AND(Y36=0,Z36=0),"",Z36&amp;" - "&amp;Y36)</f>
        <v/>
      </c>
      <c r="AR38" s="272" t="str">
        <f>IF(AND(Y33=0,Z33=0),"",Z33&amp;" - "&amp;Y33)</f>
        <v/>
      </c>
      <c r="AS38" s="272" t="str">
        <f>IF(AND(Y35=0,Z35=0),"",Z35&amp;" - "&amp;Y35)</f>
        <v/>
      </c>
      <c r="AT38" s="280"/>
      <c r="AU38" s="276">
        <f>AI38</f>
        <v>0</v>
      </c>
      <c r="AV38" s="310" t="str">
        <f t="shared" ref="AV38" si="44">IF(AJ39="",AJ38,AJ39)</f>
        <v/>
      </c>
      <c r="AY38" s="30">
        <f>AO38</f>
        <v>0</v>
      </c>
      <c r="AZ38" s="30">
        <f>AP38</f>
        <v>0</v>
      </c>
    </row>
    <row r="39" spans="1:52" ht="15.75" customHeight="1" thickBot="1" x14ac:dyDescent="0.3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93"/>
      <c r="AN39" s="295"/>
      <c r="AO39" s="297"/>
      <c r="AP39" s="299"/>
      <c r="AQ39" s="271"/>
      <c r="AR39" s="273"/>
      <c r="AS39" s="273"/>
      <c r="AT39" s="281"/>
      <c r="AU39" s="277"/>
      <c r="AV39" s="311"/>
    </row>
    <row r="40" spans="1:52" s="200" customFormat="1" x14ac:dyDescent="0.25"/>
    <row r="41" spans="1:52" s="200" customFormat="1" x14ac:dyDescent="0.25">
      <c r="AO41" s="244" t="s">
        <v>5</v>
      </c>
      <c r="AR41" s="200" t="s">
        <v>18</v>
      </c>
    </row>
    <row r="42" spans="1:52" s="200" customFormat="1" x14ac:dyDescent="0.25">
      <c r="AO42" s="212" t="s">
        <v>6</v>
      </c>
      <c r="AP42" s="245" t="s">
        <v>7</v>
      </c>
      <c r="AQ42" s="248" t="s">
        <v>12</v>
      </c>
      <c r="AR42" s="264" t="e">
        <f>VLOOKUP(1,AV$32:AZ$39,4,FALSE)</f>
        <v>#N/A</v>
      </c>
      <c r="AS42" s="265"/>
      <c r="AT42" s="266"/>
      <c r="AU42" s="267" t="e">
        <f>VLOOKUP(1,AV$32:AZ$39,5,FALSE)</f>
        <v>#N/A</v>
      </c>
      <c r="AV42" s="268"/>
    </row>
    <row r="43" spans="1:52" s="200" customFormat="1" x14ac:dyDescent="0.25">
      <c r="AO43" s="212" t="s">
        <v>8</v>
      </c>
      <c r="AP43" s="246" t="s">
        <v>9</v>
      </c>
      <c r="AQ43" s="248" t="s">
        <v>13</v>
      </c>
      <c r="AR43" s="264" t="e">
        <f>VLOOKUP(2,AV$32:AZ$39,4,FALSE)</f>
        <v>#N/A</v>
      </c>
      <c r="AS43" s="265"/>
      <c r="AT43" s="266"/>
      <c r="AU43" s="267" t="e">
        <f>VLOOKUP(2,AV$32:AZ$39,5,FALSE)</f>
        <v>#N/A</v>
      </c>
      <c r="AV43" s="268"/>
    </row>
    <row r="44" spans="1:52" s="200" customFormat="1" x14ac:dyDescent="0.25">
      <c r="AO44" s="212" t="s">
        <v>10</v>
      </c>
      <c r="AP44" s="246" t="s">
        <v>11</v>
      </c>
      <c r="AQ44" s="248" t="s">
        <v>14</v>
      </c>
      <c r="AR44" s="264" t="e">
        <f>VLOOKUP(3,AV$32:AZ$39,4,FALSE)</f>
        <v>#N/A</v>
      </c>
      <c r="AS44" s="265"/>
      <c r="AT44" s="266"/>
      <c r="AU44" s="267" t="e">
        <f>VLOOKUP(3,AV$32:AZ$39,5,FALSE)</f>
        <v>#N/A</v>
      </c>
      <c r="AV44" s="268"/>
    </row>
    <row r="45" spans="1:52" s="200" customFormat="1" x14ac:dyDescent="0.25">
      <c r="AQ45" s="248" t="s">
        <v>15</v>
      </c>
      <c r="AR45" s="264" t="e">
        <f>VLOOKUP(4,AV$32:AZ$39,4,FALSE)</f>
        <v>#N/A</v>
      </c>
      <c r="AS45" s="265"/>
      <c r="AT45" s="266"/>
      <c r="AU45" s="267" t="e">
        <f>VLOOKUP(4,AV$32:AZ$39,5,FALSE)</f>
        <v>#N/A</v>
      </c>
      <c r="AV45" s="268"/>
    </row>
    <row r="46" spans="1:52" s="200" customFormat="1" x14ac:dyDescent="0.25">
      <c r="AR46" s="213"/>
      <c r="AS46" s="213"/>
      <c r="AT46" s="213"/>
      <c r="AU46" s="213"/>
      <c r="AV46" s="213"/>
    </row>
    <row r="47" spans="1:52" s="200" customFormat="1" ht="15.75" thickBot="1" x14ac:dyDescent="0.3"/>
    <row r="48" spans="1:52" s="200" customFormat="1" ht="95.25" customHeight="1" thickBot="1" x14ac:dyDescent="0.3">
      <c r="AO48" s="214" t="s">
        <v>57</v>
      </c>
      <c r="AQ48" s="284">
        <f>AO50</f>
        <v>0</v>
      </c>
      <c r="AR48" s="286">
        <f>AO52</f>
        <v>0</v>
      </c>
      <c r="AS48" s="305">
        <f>AO54</f>
        <v>0</v>
      </c>
      <c r="AT48" s="288">
        <f>AO56</f>
        <v>0</v>
      </c>
    </row>
    <row r="49" spans="1:52" s="200" customFormat="1" ht="18" customHeight="1" thickBot="1" x14ac:dyDescent="0.3">
      <c r="AM49" s="211"/>
      <c r="AN49" s="211"/>
      <c r="AO49" s="215" t="s">
        <v>4</v>
      </c>
      <c r="AP49" s="216" t="s">
        <v>77</v>
      </c>
      <c r="AQ49" s="285"/>
      <c r="AR49" s="287"/>
      <c r="AS49" s="306"/>
      <c r="AT49" s="289"/>
      <c r="AU49" s="217" t="s">
        <v>16</v>
      </c>
      <c r="AV49" s="218" t="s">
        <v>17</v>
      </c>
    </row>
    <row r="50" spans="1:52" s="200" customFormat="1" ht="15" customHeight="1" x14ac:dyDescent="0.25">
      <c r="A50" s="5">
        <v>1</v>
      </c>
      <c r="B50" s="194"/>
      <c r="C50" s="230">
        <v>1</v>
      </c>
      <c r="D50" s="230">
        <v>3</v>
      </c>
      <c r="E50" s="179"/>
      <c r="F50" s="197"/>
      <c r="G50" s="188"/>
      <c r="H50" s="189"/>
      <c r="I50" s="185"/>
      <c r="J50" s="197"/>
      <c r="K50" s="188"/>
      <c r="L50" s="189"/>
      <c r="M50" s="185"/>
      <c r="N50" s="180"/>
      <c r="O50" s="236">
        <f t="shared" ref="O50:O56" si="45">IF(E50="wo",0,IF(F50="wo",1,IF(E50&gt;F50,1,0)))</f>
        <v>0</v>
      </c>
      <c r="P50" s="236">
        <f t="shared" ref="P50:P56" si="46">IF(E50="wo",1,IF(F50="wo",0,IF(F50&gt;E50,1,0)))</f>
        <v>0</v>
      </c>
      <c r="Q50" s="236">
        <f t="shared" ref="Q50:Q56" si="47">IF(G50="wo",0,IF(H50="wo",1,IF(G50&gt;H50,1,0)))</f>
        <v>0</v>
      </c>
      <c r="R50" s="236">
        <f t="shared" ref="R50:R56" si="48">IF(G50="wo",1,IF(H50="wo",0,IF(H50&gt;G50,1,0)))</f>
        <v>0</v>
      </c>
      <c r="S50" s="236">
        <f t="shared" ref="S50:S56" si="49">IF(I50="wo",0,IF(J50="wo",1,IF(I50&gt;J50,1,0)))</f>
        <v>0</v>
      </c>
      <c r="T50" s="236">
        <f t="shared" ref="T50:T56" si="50">IF(I50="wo",1,IF(J50="wo",0,IF(J50&gt;I50,1,0)))</f>
        <v>0</v>
      </c>
      <c r="U50" s="236">
        <f t="shared" ref="U50:U56" si="51">IF(K50="wo",0,IF(L50="wo",1,IF(K50&gt;L50,1,0)))</f>
        <v>0</v>
      </c>
      <c r="V50" s="236">
        <f t="shared" ref="V50:V56" si="52">IF(K50="wo",1,IF(L50="wo",0,IF(L50&gt;K50,1,0)))</f>
        <v>0</v>
      </c>
      <c r="W50" s="236">
        <f t="shared" ref="W50:W56" si="53">IF(M50="wo",0,IF(N50="wo",1,IF(M50&gt;N50,1,0)))</f>
        <v>0</v>
      </c>
      <c r="X50" s="236">
        <f t="shared" ref="X50:X56" si="54">IF(M50="wo",1,IF(N50="wo",0,IF(N50&gt;M50,1,0)))</f>
        <v>0</v>
      </c>
      <c r="Y50" s="237">
        <f t="shared" ref="Y50:Y56" si="55">IF(E50="wo","wo",+O50+Q50+S50+U50+W50)</f>
        <v>0</v>
      </c>
      <c r="Z50" s="237">
        <f t="shared" ref="Z50:Z56" si="56">IF(F50="wo","wo",+P50+R50+T50+V50+X50)</f>
        <v>0</v>
      </c>
      <c r="AA50" s="238">
        <f t="shared" ref="AA50:AA56" si="57">IF(E50="",0,IF(E50="wo",0,IF(F50="wo",2,IF(Y50=Z50,0,IF(Y50&gt;Z50,2,1)))))</f>
        <v>0</v>
      </c>
      <c r="AB50" s="238">
        <f t="shared" ref="AB50:AB56" si="58">IF(F50="",0,IF(F50="wo",0,IF(E50="wo",2,IF(Z50=Y50,0,IF(Z50&gt;Y50,2,1)))))</f>
        <v>0</v>
      </c>
      <c r="AC50" s="239" t="str">
        <f t="shared" ref="AC50:AC56" si="59">IF(E50="","",IF(E50="wo",0,IF(F50="wo",0,IF(E50=F50,"ERROR",IF(E50&gt;F50,F50,-1*E50)))))</f>
        <v/>
      </c>
      <c r="AD50" s="239" t="str">
        <f t="shared" ref="AD50:AD56" si="60">IF(G50="","",IF(G50="wo",0,IF(H50="wo",0,IF(G50=H50,"ERROR",IF(G50&gt;H50,H50,-1*G50)))))</f>
        <v/>
      </c>
      <c r="AE50" s="239" t="str">
        <f t="shared" ref="AE50:AE56" si="61">IF(I50="","",IF(I50="wo",0,IF(J50="wo",0,IF(I50=J50,"ERROR",IF(I50&gt;J50,J50,-1*I50)))))</f>
        <v/>
      </c>
      <c r="AF50" s="239" t="str">
        <f t="shared" ref="AF50:AF56" si="62">IF(K50="","",IF(K50="wo",0,IF(L50="wo",0,IF(K50=L50,"ERROR",IF(K50&gt;L50,L50,-1*K50)))))</f>
        <v/>
      </c>
      <c r="AG50" s="239" t="str">
        <f t="shared" ref="AG50:AG56" si="63">IF(M50="","",IF(M50="wo",0,IF(N50="wo",0,IF(M50=N50,"ERROR",IF(M50&gt;N50,N50,-1*M50)))))</f>
        <v/>
      </c>
      <c r="AH50" s="240" t="str">
        <f t="shared" ref="AH50:AH56" si="64">IF(E50="","",(IF(K50="",AC50&amp;", "&amp;AD50&amp;", "&amp;AE50,IF(M50="",AC50&amp;", "&amp;AD50&amp;", "&amp;AE50&amp;", "&amp;AF50,AC50&amp;","&amp;AD50&amp;","&amp;AE50&amp;","&amp;AF50&amp;","&amp;AG50))))</f>
        <v/>
      </c>
      <c r="AI50" s="241">
        <f>SUMIF(C50:C57,1,AA50:AA57)+SUMIF(D50:D57,1,AB50:AB57)</f>
        <v>0</v>
      </c>
      <c r="AJ50" s="241" t="str">
        <f>IF(AI50&lt;&gt;0,RANK(AI50,AI50:AI57),"")</f>
        <v/>
      </c>
      <c r="AK50" s="242"/>
      <c r="AL50" s="219"/>
      <c r="AM50" s="308">
        <v>1</v>
      </c>
      <c r="AN50" s="290">
        <f>B50</f>
        <v>0</v>
      </c>
      <c r="AO50" s="309">
        <f>IF(AN50=0,0,VLOOKUP(AN50,SORTEIO!$A$21:$C$37,2,FALSE))</f>
        <v>0</v>
      </c>
      <c r="AP50" s="300">
        <f>IF(AN50=0,0,VLOOKUP(AN50,SORTEIO!$A$21:$C$37,3,FALSE))</f>
        <v>0</v>
      </c>
      <c r="AQ50" s="313"/>
      <c r="AR50" s="220" t="str">
        <f>IF(AND(Y52=0,Z52=0),"",Y52&amp;" - "&amp;Z52)</f>
        <v/>
      </c>
      <c r="AS50" s="221" t="str">
        <f>IF(AND(Y50=0,Z50=0),"",Y50&amp;" - "&amp;Z50)</f>
        <v/>
      </c>
      <c r="AT50" s="222" t="str">
        <f>IF(AND(Y54=0,Z54=0),"",Y54&amp;" - "&amp;Z54)</f>
        <v/>
      </c>
      <c r="AU50" s="274">
        <f>AI50</f>
        <v>0</v>
      </c>
      <c r="AV50" s="312" t="str">
        <f>IF(AJ51="",AJ50,AJ51)</f>
        <v/>
      </c>
      <c r="AY50" s="200">
        <f>AO50</f>
        <v>0</v>
      </c>
      <c r="AZ50" s="200">
        <f>AP50</f>
        <v>0</v>
      </c>
    </row>
    <row r="51" spans="1:52" s="200" customFormat="1" ht="15" customHeight="1" x14ac:dyDescent="0.25">
      <c r="A51" s="5">
        <v>2</v>
      </c>
      <c r="B51" s="195"/>
      <c r="C51" s="230">
        <v>2</v>
      </c>
      <c r="D51" s="230">
        <v>4</v>
      </c>
      <c r="E51" s="181"/>
      <c r="F51" s="198"/>
      <c r="G51" s="190"/>
      <c r="H51" s="191"/>
      <c r="I51" s="186"/>
      <c r="J51" s="198"/>
      <c r="K51" s="190"/>
      <c r="L51" s="191"/>
      <c r="M51" s="186"/>
      <c r="N51" s="182"/>
      <c r="O51" s="236">
        <f t="shared" si="45"/>
        <v>0</v>
      </c>
      <c r="P51" s="236">
        <f t="shared" si="46"/>
        <v>0</v>
      </c>
      <c r="Q51" s="236">
        <f t="shared" si="47"/>
        <v>0</v>
      </c>
      <c r="R51" s="236">
        <f t="shared" si="48"/>
        <v>0</v>
      </c>
      <c r="S51" s="236">
        <f t="shared" si="49"/>
        <v>0</v>
      </c>
      <c r="T51" s="236">
        <f t="shared" si="50"/>
        <v>0</v>
      </c>
      <c r="U51" s="236">
        <f t="shared" si="51"/>
        <v>0</v>
      </c>
      <c r="V51" s="236">
        <f t="shared" si="52"/>
        <v>0</v>
      </c>
      <c r="W51" s="236">
        <f t="shared" si="53"/>
        <v>0</v>
      </c>
      <c r="X51" s="236">
        <f t="shared" si="54"/>
        <v>0</v>
      </c>
      <c r="Y51" s="237">
        <f t="shared" si="55"/>
        <v>0</v>
      </c>
      <c r="Z51" s="237">
        <f t="shared" si="56"/>
        <v>0</v>
      </c>
      <c r="AA51" s="238">
        <f t="shared" si="57"/>
        <v>0</v>
      </c>
      <c r="AB51" s="238">
        <f t="shared" si="58"/>
        <v>0</v>
      </c>
      <c r="AC51" s="239" t="str">
        <f t="shared" si="59"/>
        <v/>
      </c>
      <c r="AD51" s="239" t="str">
        <f t="shared" si="60"/>
        <v/>
      </c>
      <c r="AE51" s="239" t="str">
        <f t="shared" si="61"/>
        <v/>
      </c>
      <c r="AF51" s="239" t="str">
        <f t="shared" si="62"/>
        <v/>
      </c>
      <c r="AG51" s="239" t="str">
        <f t="shared" si="63"/>
        <v/>
      </c>
      <c r="AH51" s="240" t="str">
        <f t="shared" si="64"/>
        <v/>
      </c>
      <c r="AI51" s="241"/>
      <c r="AJ51" s="247"/>
      <c r="AK51" s="242"/>
      <c r="AL51" s="219"/>
      <c r="AM51" s="307"/>
      <c r="AN51" s="291"/>
      <c r="AO51" s="304"/>
      <c r="AP51" s="301"/>
      <c r="AQ51" s="314"/>
      <c r="AR51" s="223" t="str">
        <f>AH52</f>
        <v/>
      </c>
      <c r="AS51" s="224" t="str">
        <f>AH50</f>
        <v/>
      </c>
      <c r="AT51" s="225" t="str">
        <f>AH54</f>
        <v/>
      </c>
      <c r="AU51" s="275"/>
      <c r="AV51" s="310"/>
    </row>
    <row r="52" spans="1:52" s="200" customFormat="1" x14ac:dyDescent="0.25">
      <c r="A52" s="5">
        <v>3</v>
      </c>
      <c r="B52" s="195"/>
      <c r="C52" s="230">
        <v>1</v>
      </c>
      <c r="D52" s="230">
        <v>2</v>
      </c>
      <c r="E52" s="181"/>
      <c r="F52" s="198"/>
      <c r="G52" s="190"/>
      <c r="H52" s="191"/>
      <c r="I52" s="186"/>
      <c r="J52" s="198"/>
      <c r="K52" s="190"/>
      <c r="L52" s="191"/>
      <c r="M52" s="186"/>
      <c r="N52" s="182"/>
      <c r="O52" s="236">
        <f t="shared" si="45"/>
        <v>0</v>
      </c>
      <c r="P52" s="236">
        <f t="shared" si="46"/>
        <v>0</v>
      </c>
      <c r="Q52" s="236">
        <f t="shared" si="47"/>
        <v>0</v>
      </c>
      <c r="R52" s="236">
        <f t="shared" si="48"/>
        <v>0</v>
      </c>
      <c r="S52" s="236">
        <f t="shared" si="49"/>
        <v>0</v>
      </c>
      <c r="T52" s="236">
        <f t="shared" si="50"/>
        <v>0</v>
      </c>
      <c r="U52" s="236">
        <f t="shared" si="51"/>
        <v>0</v>
      </c>
      <c r="V52" s="236">
        <f t="shared" si="52"/>
        <v>0</v>
      </c>
      <c r="W52" s="236">
        <f t="shared" si="53"/>
        <v>0</v>
      </c>
      <c r="X52" s="236">
        <f t="shared" si="54"/>
        <v>0</v>
      </c>
      <c r="Y52" s="237">
        <f t="shared" si="55"/>
        <v>0</v>
      </c>
      <c r="Z52" s="237">
        <f t="shared" si="56"/>
        <v>0</v>
      </c>
      <c r="AA52" s="238">
        <f t="shared" si="57"/>
        <v>0</v>
      </c>
      <c r="AB52" s="238">
        <f t="shared" si="58"/>
        <v>0</v>
      </c>
      <c r="AC52" s="239" t="str">
        <f t="shared" si="59"/>
        <v/>
      </c>
      <c r="AD52" s="239" t="str">
        <f t="shared" si="60"/>
        <v/>
      </c>
      <c r="AE52" s="239" t="str">
        <f t="shared" si="61"/>
        <v/>
      </c>
      <c r="AF52" s="239" t="str">
        <f t="shared" si="62"/>
        <v/>
      </c>
      <c r="AG52" s="239" t="str">
        <f t="shared" si="63"/>
        <v/>
      </c>
      <c r="AH52" s="240" t="str">
        <f t="shared" si="64"/>
        <v/>
      </c>
      <c r="AI52" s="241">
        <f>SUMIF(C50:C57,2,AA50:AA57)+SUMIF(D50:D57,2,AB50:AB57)</f>
        <v>0</v>
      </c>
      <c r="AJ52" s="241" t="str">
        <f>IF(AI52&lt;&gt;0,RANK(AI52,AI50:AI57),"")</f>
        <v/>
      </c>
      <c r="AK52" s="242"/>
      <c r="AL52" s="219"/>
      <c r="AM52" s="292">
        <v>2</v>
      </c>
      <c r="AN52" s="294">
        <f>B51</f>
        <v>0</v>
      </c>
      <c r="AO52" s="296">
        <f>IF(AN52=0,0,VLOOKUP(AN52,SORTEIO!$A$21:$C$37,2,FALSE))</f>
        <v>0</v>
      </c>
      <c r="AP52" s="298">
        <f>IF(AN52=0,0,VLOOKUP(AN52,SORTEIO!$A$21:$C$37,3,FALSE))</f>
        <v>0</v>
      </c>
      <c r="AQ52" s="278" t="str">
        <f>IF(AND(Y52=0,Z52=0),"",Z52&amp;" - "&amp;Y52)</f>
        <v/>
      </c>
      <c r="AR52" s="279"/>
      <c r="AS52" s="226" t="str">
        <f>IF(AND(Y55=0,Z55=0),"",Y55&amp;" - "&amp;Z55)</f>
        <v/>
      </c>
      <c r="AT52" s="227" t="str">
        <f>IF(AND(Y51=0,Z51=0),"",Y51&amp;" - "&amp;Z51)</f>
        <v/>
      </c>
      <c r="AU52" s="275">
        <f>AI52</f>
        <v>0</v>
      </c>
      <c r="AV52" s="310" t="str">
        <f t="shared" ref="AV52" si="65">IF(AJ53="",AJ52,AJ53)</f>
        <v/>
      </c>
      <c r="AY52" s="200">
        <f>AO52</f>
        <v>0</v>
      </c>
      <c r="AZ52" s="200">
        <f>AP52</f>
        <v>0</v>
      </c>
    </row>
    <row r="53" spans="1:52" s="200" customFormat="1" ht="15.75" thickBot="1" x14ac:dyDescent="0.3">
      <c r="A53" s="5">
        <v>4</v>
      </c>
      <c r="B53" s="196"/>
      <c r="C53" s="230">
        <v>3</v>
      </c>
      <c r="D53" s="230">
        <v>4</v>
      </c>
      <c r="E53" s="181"/>
      <c r="F53" s="198"/>
      <c r="G53" s="190"/>
      <c r="H53" s="191"/>
      <c r="I53" s="186"/>
      <c r="J53" s="198"/>
      <c r="K53" s="190"/>
      <c r="L53" s="191"/>
      <c r="M53" s="186"/>
      <c r="N53" s="182"/>
      <c r="O53" s="236">
        <f t="shared" si="45"/>
        <v>0</v>
      </c>
      <c r="P53" s="236">
        <f t="shared" si="46"/>
        <v>0</v>
      </c>
      <c r="Q53" s="236">
        <f t="shared" si="47"/>
        <v>0</v>
      </c>
      <c r="R53" s="236">
        <f t="shared" si="48"/>
        <v>0</v>
      </c>
      <c r="S53" s="236">
        <f t="shared" si="49"/>
        <v>0</v>
      </c>
      <c r="T53" s="236">
        <f t="shared" si="50"/>
        <v>0</v>
      </c>
      <c r="U53" s="236">
        <f t="shared" si="51"/>
        <v>0</v>
      </c>
      <c r="V53" s="236">
        <f t="shared" si="52"/>
        <v>0</v>
      </c>
      <c r="W53" s="236">
        <f t="shared" si="53"/>
        <v>0</v>
      </c>
      <c r="X53" s="236">
        <f t="shared" si="54"/>
        <v>0</v>
      </c>
      <c r="Y53" s="237">
        <f t="shared" si="55"/>
        <v>0</v>
      </c>
      <c r="Z53" s="237">
        <f t="shared" si="56"/>
        <v>0</v>
      </c>
      <c r="AA53" s="238">
        <f t="shared" si="57"/>
        <v>0</v>
      </c>
      <c r="AB53" s="238">
        <f t="shared" si="58"/>
        <v>0</v>
      </c>
      <c r="AC53" s="239" t="str">
        <f t="shared" si="59"/>
        <v/>
      </c>
      <c r="AD53" s="239" t="str">
        <f t="shared" si="60"/>
        <v/>
      </c>
      <c r="AE53" s="239" t="str">
        <f t="shared" si="61"/>
        <v/>
      </c>
      <c r="AF53" s="239" t="str">
        <f t="shared" si="62"/>
        <v/>
      </c>
      <c r="AG53" s="239" t="str">
        <f t="shared" si="63"/>
        <v/>
      </c>
      <c r="AH53" s="240" t="str">
        <f t="shared" si="64"/>
        <v/>
      </c>
      <c r="AI53" s="241"/>
      <c r="AJ53" s="247"/>
      <c r="AK53" s="242"/>
      <c r="AL53" s="219"/>
      <c r="AM53" s="292"/>
      <c r="AN53" s="294"/>
      <c r="AO53" s="296"/>
      <c r="AP53" s="298"/>
      <c r="AQ53" s="278"/>
      <c r="AR53" s="279"/>
      <c r="AS53" s="224" t="str">
        <f>AH55</f>
        <v/>
      </c>
      <c r="AT53" s="225" t="str">
        <f>AH51</f>
        <v/>
      </c>
      <c r="AU53" s="275"/>
      <c r="AV53" s="310"/>
      <c r="AW53" s="249"/>
    </row>
    <row r="54" spans="1:52" s="200" customFormat="1" x14ac:dyDescent="0.25">
      <c r="A54" s="5" t="str">
        <f>IF(B49=5,5,"")</f>
        <v/>
      </c>
      <c r="B54" s="231"/>
      <c r="C54" s="230">
        <v>1</v>
      </c>
      <c r="D54" s="230">
        <v>4</v>
      </c>
      <c r="E54" s="181"/>
      <c r="F54" s="198"/>
      <c r="G54" s="190"/>
      <c r="H54" s="191"/>
      <c r="I54" s="186"/>
      <c r="J54" s="198"/>
      <c r="K54" s="190"/>
      <c r="L54" s="191"/>
      <c r="M54" s="186"/>
      <c r="N54" s="182"/>
      <c r="O54" s="236">
        <f t="shared" si="45"/>
        <v>0</v>
      </c>
      <c r="P54" s="236">
        <f t="shared" si="46"/>
        <v>0</v>
      </c>
      <c r="Q54" s="236">
        <f t="shared" si="47"/>
        <v>0</v>
      </c>
      <c r="R54" s="236">
        <f t="shared" si="48"/>
        <v>0</v>
      </c>
      <c r="S54" s="236">
        <f t="shared" si="49"/>
        <v>0</v>
      </c>
      <c r="T54" s="236">
        <f t="shared" si="50"/>
        <v>0</v>
      </c>
      <c r="U54" s="236">
        <f t="shared" si="51"/>
        <v>0</v>
      </c>
      <c r="V54" s="236">
        <f t="shared" si="52"/>
        <v>0</v>
      </c>
      <c r="W54" s="236">
        <f t="shared" si="53"/>
        <v>0</v>
      </c>
      <c r="X54" s="236">
        <f t="shared" si="54"/>
        <v>0</v>
      </c>
      <c r="Y54" s="237">
        <f t="shared" si="55"/>
        <v>0</v>
      </c>
      <c r="Z54" s="237">
        <f t="shared" si="56"/>
        <v>0</v>
      </c>
      <c r="AA54" s="238">
        <f t="shared" si="57"/>
        <v>0</v>
      </c>
      <c r="AB54" s="238">
        <f t="shared" si="58"/>
        <v>0</v>
      </c>
      <c r="AC54" s="239" t="str">
        <f t="shared" si="59"/>
        <v/>
      </c>
      <c r="AD54" s="239" t="str">
        <f t="shared" si="60"/>
        <v/>
      </c>
      <c r="AE54" s="239" t="str">
        <f t="shared" si="61"/>
        <v/>
      </c>
      <c r="AF54" s="239" t="str">
        <f t="shared" si="62"/>
        <v/>
      </c>
      <c r="AG54" s="239" t="str">
        <f t="shared" si="63"/>
        <v/>
      </c>
      <c r="AH54" s="240" t="str">
        <f t="shared" si="64"/>
        <v/>
      </c>
      <c r="AI54" s="241">
        <f>SUMIF(C50:C57,3,AA50:AA57)+SUMIF(D50:D57,3,AB50:AB57)</f>
        <v>0</v>
      </c>
      <c r="AJ54" s="241" t="str">
        <f>IF(AI54&lt;&gt;0,RANK(AI54,AI50:AI57),"")</f>
        <v/>
      </c>
      <c r="AK54" s="242"/>
      <c r="AL54" s="219"/>
      <c r="AM54" s="307">
        <v>3</v>
      </c>
      <c r="AN54" s="291">
        <f>B52</f>
        <v>0</v>
      </c>
      <c r="AO54" s="304">
        <f>IF(AN54=0,0,VLOOKUP(AN54,SORTEIO!$A$21:$C$37,2,FALSE))</f>
        <v>0</v>
      </c>
      <c r="AP54" s="301">
        <f>IF(AN54=0,0,VLOOKUP(AN54,SORTEIO!$A$21:$C$37,3,FALSE))</f>
        <v>0</v>
      </c>
      <c r="AQ54" s="278" t="str">
        <f>IF(AND(Y50=0,Z50=0),"",Z50&amp;" - "&amp;Y50)</f>
        <v/>
      </c>
      <c r="AR54" s="269" t="str">
        <f>IF(AND(Y55=0,Z55=0),"",Z55&amp;" - "&amp;Y55)</f>
        <v/>
      </c>
      <c r="AS54" s="282"/>
      <c r="AT54" s="228" t="str">
        <f>IF(AND(Y53=0,Z53=0),"",Y53&amp;" - "&amp;Z53)</f>
        <v/>
      </c>
      <c r="AU54" s="275">
        <f>AI54</f>
        <v>0</v>
      </c>
      <c r="AV54" s="310" t="str">
        <f t="shared" ref="AV54" si="66">IF(AJ55="",AJ54,AJ55)</f>
        <v/>
      </c>
      <c r="AY54" s="200">
        <f>AO54</f>
        <v>0</v>
      </c>
      <c r="AZ54" s="200">
        <f>AP54</f>
        <v>0</v>
      </c>
    </row>
    <row r="55" spans="1:52" s="200" customFormat="1" ht="15.75" thickBot="1" x14ac:dyDescent="0.3">
      <c r="A55" s="14"/>
      <c r="B55" s="14"/>
      <c r="C55" s="230">
        <v>2</v>
      </c>
      <c r="D55" s="230">
        <v>3</v>
      </c>
      <c r="E55" s="183"/>
      <c r="F55" s="199"/>
      <c r="G55" s="192"/>
      <c r="H55" s="193"/>
      <c r="I55" s="187"/>
      <c r="J55" s="199"/>
      <c r="K55" s="192"/>
      <c r="L55" s="193"/>
      <c r="M55" s="187"/>
      <c r="N55" s="184"/>
      <c r="O55" s="236">
        <f t="shared" si="45"/>
        <v>0</v>
      </c>
      <c r="P55" s="236">
        <f t="shared" si="46"/>
        <v>0</v>
      </c>
      <c r="Q55" s="236">
        <f t="shared" si="47"/>
        <v>0</v>
      </c>
      <c r="R55" s="236">
        <f t="shared" si="48"/>
        <v>0</v>
      </c>
      <c r="S55" s="236">
        <f t="shared" si="49"/>
        <v>0</v>
      </c>
      <c r="T55" s="236">
        <f t="shared" si="50"/>
        <v>0</v>
      </c>
      <c r="U55" s="236">
        <f t="shared" si="51"/>
        <v>0</v>
      </c>
      <c r="V55" s="236">
        <f t="shared" si="52"/>
        <v>0</v>
      </c>
      <c r="W55" s="236">
        <f t="shared" si="53"/>
        <v>0</v>
      </c>
      <c r="X55" s="236">
        <f t="shared" si="54"/>
        <v>0</v>
      </c>
      <c r="Y55" s="237">
        <f t="shared" si="55"/>
        <v>0</v>
      </c>
      <c r="Z55" s="237">
        <f t="shared" si="56"/>
        <v>0</v>
      </c>
      <c r="AA55" s="238">
        <f t="shared" si="57"/>
        <v>0</v>
      </c>
      <c r="AB55" s="238">
        <f t="shared" si="58"/>
        <v>0</v>
      </c>
      <c r="AC55" s="239" t="str">
        <f t="shared" si="59"/>
        <v/>
      </c>
      <c r="AD55" s="239" t="str">
        <f t="shared" si="60"/>
        <v/>
      </c>
      <c r="AE55" s="239" t="str">
        <f t="shared" si="61"/>
        <v/>
      </c>
      <c r="AF55" s="239" t="str">
        <f t="shared" si="62"/>
        <v/>
      </c>
      <c r="AG55" s="239" t="str">
        <f t="shared" si="63"/>
        <v/>
      </c>
      <c r="AH55" s="240" t="str">
        <f t="shared" si="64"/>
        <v/>
      </c>
      <c r="AI55" s="241"/>
      <c r="AJ55" s="247"/>
      <c r="AK55" s="242"/>
      <c r="AL55" s="219"/>
      <c r="AM55" s="307"/>
      <c r="AN55" s="291"/>
      <c r="AO55" s="304"/>
      <c r="AP55" s="301"/>
      <c r="AQ55" s="278"/>
      <c r="AR55" s="269"/>
      <c r="AS55" s="282"/>
      <c r="AT55" s="229" t="str">
        <f>AH53</f>
        <v/>
      </c>
      <c r="AU55" s="275"/>
      <c r="AV55" s="310"/>
    </row>
    <row r="56" spans="1:52" s="200" customFormat="1" x14ac:dyDescent="0.25">
      <c r="A56" s="14"/>
      <c r="B56" s="14"/>
      <c r="C56" s="230"/>
      <c r="D56" s="230"/>
      <c r="E56" s="232"/>
      <c r="F56" s="233"/>
      <c r="G56" s="234"/>
      <c r="H56" s="235"/>
      <c r="I56" s="232"/>
      <c r="J56" s="233"/>
      <c r="K56" s="234"/>
      <c r="L56" s="235"/>
      <c r="M56" s="232"/>
      <c r="N56" s="233"/>
      <c r="O56" s="236">
        <f t="shared" si="45"/>
        <v>0</v>
      </c>
      <c r="P56" s="236">
        <f t="shared" si="46"/>
        <v>0</v>
      </c>
      <c r="Q56" s="236">
        <f t="shared" si="47"/>
        <v>0</v>
      </c>
      <c r="R56" s="236">
        <f t="shared" si="48"/>
        <v>0</v>
      </c>
      <c r="S56" s="236">
        <f t="shared" si="49"/>
        <v>0</v>
      </c>
      <c r="T56" s="236">
        <f t="shared" si="50"/>
        <v>0</v>
      </c>
      <c r="U56" s="236">
        <f t="shared" si="51"/>
        <v>0</v>
      </c>
      <c r="V56" s="236">
        <f t="shared" si="52"/>
        <v>0</v>
      </c>
      <c r="W56" s="236">
        <f t="shared" si="53"/>
        <v>0</v>
      </c>
      <c r="X56" s="236">
        <f t="shared" si="54"/>
        <v>0</v>
      </c>
      <c r="Y56" s="237">
        <f t="shared" si="55"/>
        <v>0</v>
      </c>
      <c r="Z56" s="237">
        <f t="shared" si="56"/>
        <v>0</v>
      </c>
      <c r="AA56" s="238">
        <f t="shared" si="57"/>
        <v>0</v>
      </c>
      <c r="AB56" s="238">
        <f t="shared" si="58"/>
        <v>0</v>
      </c>
      <c r="AC56" s="239" t="str">
        <f t="shared" si="59"/>
        <v/>
      </c>
      <c r="AD56" s="239" t="str">
        <f t="shared" si="60"/>
        <v/>
      </c>
      <c r="AE56" s="239" t="str">
        <f t="shared" si="61"/>
        <v/>
      </c>
      <c r="AF56" s="239" t="str">
        <f t="shared" si="62"/>
        <v/>
      </c>
      <c r="AG56" s="239" t="str">
        <f t="shared" si="63"/>
        <v/>
      </c>
      <c r="AH56" s="240" t="str">
        <f t="shared" si="64"/>
        <v/>
      </c>
      <c r="AI56" s="241">
        <f>SUMIF(C50:C57,4,AA50:AA57)+SUMIF(D50:D57,4,AB50:AB57)</f>
        <v>0</v>
      </c>
      <c r="AJ56" s="241" t="str">
        <f>IF(AI56&lt;&gt;0,RANK(AI56,AI50:AI57),"")</f>
        <v/>
      </c>
      <c r="AK56" s="242"/>
      <c r="AL56" s="219"/>
      <c r="AM56" s="292">
        <v>4</v>
      </c>
      <c r="AN56" s="294">
        <f>B53</f>
        <v>0</v>
      </c>
      <c r="AO56" s="296">
        <f>IF(AN56=0,0,VLOOKUP(AN56,SORTEIO!$A$21:$C$37,2,FALSE))</f>
        <v>0</v>
      </c>
      <c r="AP56" s="298">
        <f>IF(AN56=0,0,VLOOKUP(AN56,SORTEIO!$A$21:$C$37,3,FALSE))</f>
        <v>0</v>
      </c>
      <c r="AQ56" s="270" t="str">
        <f>IF(AND(Y54=0,Z54=0),"",Z54&amp;" - "&amp;Y54)</f>
        <v/>
      </c>
      <c r="AR56" s="272" t="str">
        <f>IF(AND(Y51=0,Z51=0),"",Z51&amp;" - "&amp;Y51)</f>
        <v/>
      </c>
      <c r="AS56" s="272" t="str">
        <f>IF(AND(Y53=0,Z53=0),"",Z53&amp;" - "&amp;Y53)</f>
        <v/>
      </c>
      <c r="AT56" s="280"/>
      <c r="AU56" s="276">
        <f>AI56</f>
        <v>0</v>
      </c>
      <c r="AV56" s="310" t="str">
        <f t="shared" ref="AV56" si="67">IF(AJ57="",AJ56,AJ57)</f>
        <v/>
      </c>
      <c r="AY56" s="200">
        <f>AO56</f>
        <v>0</v>
      </c>
      <c r="AZ56" s="200">
        <f>AP56</f>
        <v>0</v>
      </c>
    </row>
    <row r="57" spans="1:52" s="200" customFormat="1" ht="15.75" thickBot="1" x14ac:dyDescent="0.3">
      <c r="AM57" s="293"/>
      <c r="AN57" s="295"/>
      <c r="AO57" s="297"/>
      <c r="AP57" s="299"/>
      <c r="AQ57" s="271"/>
      <c r="AR57" s="273"/>
      <c r="AS57" s="273"/>
      <c r="AT57" s="281"/>
      <c r="AU57" s="277"/>
      <c r="AV57" s="311"/>
    </row>
    <row r="58" spans="1:52" s="200" customFormat="1" x14ac:dyDescent="0.25"/>
    <row r="59" spans="1:52" s="200" customFormat="1" x14ac:dyDescent="0.25">
      <c r="AO59" s="244" t="s">
        <v>5</v>
      </c>
      <c r="AR59" s="200" t="s">
        <v>18</v>
      </c>
    </row>
    <row r="60" spans="1:52" s="200" customFormat="1" x14ac:dyDescent="0.25">
      <c r="AO60" s="212" t="s">
        <v>6</v>
      </c>
      <c r="AP60" s="245" t="s">
        <v>7</v>
      </c>
      <c r="AQ60" s="248" t="s">
        <v>12</v>
      </c>
      <c r="AR60" s="264" t="e">
        <f>VLOOKUP(1,AV$50:AZ$57,4,FALSE)</f>
        <v>#N/A</v>
      </c>
      <c r="AS60" s="265"/>
      <c r="AT60" s="266"/>
      <c r="AU60" s="267" t="e">
        <f>VLOOKUP(1,AV$50:AZ$57,5,FALSE)</f>
        <v>#N/A</v>
      </c>
      <c r="AV60" s="268"/>
    </row>
    <row r="61" spans="1:52" s="200" customFormat="1" x14ac:dyDescent="0.25">
      <c r="AO61" s="212" t="s">
        <v>8</v>
      </c>
      <c r="AP61" s="246" t="s">
        <v>9</v>
      </c>
      <c r="AQ61" s="248" t="s">
        <v>13</v>
      </c>
      <c r="AR61" s="264" t="e">
        <f>VLOOKUP(2,AV$50:AZ$57,4,FALSE)</f>
        <v>#N/A</v>
      </c>
      <c r="AS61" s="265"/>
      <c r="AT61" s="266"/>
      <c r="AU61" s="267" t="e">
        <f>VLOOKUP(2,AV$50:AZ$57,5,FALSE)</f>
        <v>#N/A</v>
      </c>
      <c r="AV61" s="268"/>
    </row>
    <row r="62" spans="1:52" s="200" customFormat="1" x14ac:dyDescent="0.25">
      <c r="AO62" s="212" t="s">
        <v>10</v>
      </c>
      <c r="AP62" s="246" t="s">
        <v>11</v>
      </c>
      <c r="AQ62" s="248" t="s">
        <v>14</v>
      </c>
      <c r="AR62" s="264" t="e">
        <f>VLOOKUP(3,AV$50:AZ$57,4,FALSE)</f>
        <v>#N/A</v>
      </c>
      <c r="AS62" s="265"/>
      <c r="AT62" s="266"/>
      <c r="AU62" s="267" t="e">
        <f>VLOOKUP(3,AV$50:AZ$57,5,FALSE)</f>
        <v>#N/A</v>
      </c>
      <c r="AV62" s="268"/>
    </row>
    <row r="63" spans="1:52" s="200" customFormat="1" x14ac:dyDescent="0.25">
      <c r="AQ63" s="248" t="s">
        <v>15</v>
      </c>
      <c r="AR63" s="264" t="e">
        <f>VLOOKUP(4,AV$50:AZ$57,4,FALSE)</f>
        <v>#N/A</v>
      </c>
      <c r="AS63" s="265"/>
      <c r="AT63" s="266"/>
      <c r="AU63" s="267" t="e">
        <f>VLOOKUP(4,AV$50:AZ$57,5,FALSE)</f>
        <v>#N/A</v>
      </c>
      <c r="AV63" s="268"/>
    </row>
    <row r="64" spans="1:52" s="200" customFormat="1" x14ac:dyDescent="0.25"/>
    <row r="65" spans="1:52" s="200" customFormat="1" ht="15.75" thickBot="1" x14ac:dyDescent="0.3"/>
    <row r="66" spans="1:52" s="200" customFormat="1" ht="95.25" customHeight="1" thickBot="1" x14ac:dyDescent="0.3">
      <c r="AO66" s="214" t="s">
        <v>58</v>
      </c>
      <c r="AQ66" s="284">
        <f>AO68</f>
        <v>0</v>
      </c>
      <c r="AR66" s="286">
        <f>AO70</f>
        <v>0</v>
      </c>
      <c r="AS66" s="305">
        <f>AO72</f>
        <v>0</v>
      </c>
      <c r="AT66" s="288">
        <f>AO74</f>
        <v>0</v>
      </c>
    </row>
    <row r="67" spans="1:52" s="200" customFormat="1" ht="18" customHeight="1" thickBot="1" x14ac:dyDescent="0.3">
      <c r="AM67" s="211"/>
      <c r="AN67" s="211"/>
      <c r="AO67" s="215" t="s">
        <v>4</v>
      </c>
      <c r="AP67" s="216" t="s">
        <v>77</v>
      </c>
      <c r="AQ67" s="285"/>
      <c r="AR67" s="287"/>
      <c r="AS67" s="306"/>
      <c r="AT67" s="289"/>
      <c r="AU67" s="217" t="s">
        <v>16</v>
      </c>
      <c r="AV67" s="218" t="s">
        <v>17</v>
      </c>
    </row>
    <row r="68" spans="1:52" s="200" customFormat="1" x14ac:dyDescent="0.25">
      <c r="A68" s="5">
        <v>1</v>
      </c>
      <c r="B68" s="194"/>
      <c r="C68" s="230">
        <v>1</v>
      </c>
      <c r="D68" s="230">
        <v>3</v>
      </c>
      <c r="E68" s="179"/>
      <c r="F68" s="197"/>
      <c r="G68" s="188"/>
      <c r="H68" s="189"/>
      <c r="I68" s="185"/>
      <c r="J68" s="197"/>
      <c r="K68" s="188"/>
      <c r="L68" s="189"/>
      <c r="M68" s="185"/>
      <c r="N68" s="180"/>
      <c r="O68" s="236">
        <f t="shared" ref="O68:O74" si="68">IF(E68="wo",0,IF(F68="wo",1,IF(E68&gt;F68,1,0)))</f>
        <v>0</v>
      </c>
      <c r="P68" s="236">
        <f t="shared" ref="P68:P74" si="69">IF(E68="wo",1,IF(F68="wo",0,IF(F68&gt;E68,1,0)))</f>
        <v>0</v>
      </c>
      <c r="Q68" s="236">
        <f t="shared" ref="Q68:Q74" si="70">IF(G68="wo",0,IF(H68="wo",1,IF(G68&gt;H68,1,0)))</f>
        <v>0</v>
      </c>
      <c r="R68" s="236">
        <f t="shared" ref="R68:R74" si="71">IF(G68="wo",1,IF(H68="wo",0,IF(H68&gt;G68,1,0)))</f>
        <v>0</v>
      </c>
      <c r="S68" s="236">
        <f t="shared" ref="S68:S74" si="72">IF(I68="wo",0,IF(J68="wo",1,IF(I68&gt;J68,1,0)))</f>
        <v>0</v>
      </c>
      <c r="T68" s="236">
        <f t="shared" ref="T68:T74" si="73">IF(I68="wo",1,IF(J68="wo",0,IF(J68&gt;I68,1,0)))</f>
        <v>0</v>
      </c>
      <c r="U68" s="236">
        <f t="shared" ref="U68:U74" si="74">IF(K68="wo",0,IF(L68="wo",1,IF(K68&gt;L68,1,0)))</f>
        <v>0</v>
      </c>
      <c r="V68" s="236">
        <f t="shared" ref="V68:V74" si="75">IF(K68="wo",1,IF(L68="wo",0,IF(L68&gt;K68,1,0)))</f>
        <v>0</v>
      </c>
      <c r="W68" s="236">
        <f t="shared" ref="W68:W74" si="76">IF(M68="wo",0,IF(N68="wo",1,IF(M68&gt;N68,1,0)))</f>
        <v>0</v>
      </c>
      <c r="X68" s="236">
        <f t="shared" ref="X68:X74" si="77">IF(M68="wo",1,IF(N68="wo",0,IF(N68&gt;M68,1,0)))</f>
        <v>0</v>
      </c>
      <c r="Y68" s="237">
        <f t="shared" ref="Y68:Y74" si="78">IF(E68="wo","wo",+O68+Q68+S68+U68+W68)</f>
        <v>0</v>
      </c>
      <c r="Z68" s="237">
        <f t="shared" ref="Z68:Z74" si="79">IF(F68="wo","wo",+P68+R68+T68+V68+X68)</f>
        <v>0</v>
      </c>
      <c r="AA68" s="238">
        <f t="shared" ref="AA68:AA74" si="80">IF(E68="",0,IF(E68="wo",0,IF(F68="wo",2,IF(Y68=Z68,0,IF(Y68&gt;Z68,2,1)))))</f>
        <v>0</v>
      </c>
      <c r="AB68" s="238">
        <f t="shared" ref="AB68:AB74" si="81">IF(F68="",0,IF(F68="wo",0,IF(E68="wo",2,IF(Z68=Y68,0,IF(Z68&gt;Y68,2,1)))))</f>
        <v>0</v>
      </c>
      <c r="AC68" s="239" t="str">
        <f t="shared" ref="AC68:AC74" si="82">IF(E68="","",IF(E68="wo",0,IF(F68="wo",0,IF(E68=F68,"ERROR",IF(E68&gt;F68,F68,-1*E68)))))</f>
        <v/>
      </c>
      <c r="AD68" s="239" t="str">
        <f t="shared" ref="AD68:AD74" si="83">IF(G68="","",IF(G68="wo",0,IF(H68="wo",0,IF(G68=H68,"ERROR",IF(G68&gt;H68,H68,-1*G68)))))</f>
        <v/>
      </c>
      <c r="AE68" s="239" t="str">
        <f t="shared" ref="AE68:AE74" si="84">IF(I68="","",IF(I68="wo",0,IF(J68="wo",0,IF(I68=J68,"ERROR",IF(I68&gt;J68,J68,-1*I68)))))</f>
        <v/>
      </c>
      <c r="AF68" s="239" t="str">
        <f t="shared" ref="AF68:AF74" si="85">IF(K68="","",IF(K68="wo",0,IF(L68="wo",0,IF(K68=L68,"ERROR",IF(K68&gt;L68,L68,-1*K68)))))</f>
        <v/>
      </c>
      <c r="AG68" s="239" t="str">
        <f t="shared" ref="AG68:AG74" si="86">IF(M68="","",IF(M68="wo",0,IF(N68="wo",0,IF(M68=N68,"ERROR",IF(M68&gt;N68,N68,-1*M68)))))</f>
        <v/>
      </c>
      <c r="AH68" s="240" t="str">
        <f t="shared" ref="AH68:AH74" si="87">IF(E68="","",(IF(K68="",AC68&amp;", "&amp;AD68&amp;", "&amp;AE68,IF(M68="",AC68&amp;", "&amp;AD68&amp;", "&amp;AE68&amp;", "&amp;AF68,AC68&amp;","&amp;AD68&amp;","&amp;AE68&amp;","&amp;AF68&amp;","&amp;AG68))))</f>
        <v/>
      </c>
      <c r="AI68" s="241">
        <f>SUMIF(C68:C75,1,AA68:AA75)+SUMIF(D68:D75,1,AB68:AB75)</f>
        <v>0</v>
      </c>
      <c r="AJ68" s="241" t="str">
        <f>IF(AI68&lt;&gt;0,RANK(AI68,AI68:AI75),"")</f>
        <v/>
      </c>
      <c r="AK68" s="242"/>
      <c r="AL68" s="219"/>
      <c r="AM68" s="308">
        <v>1</v>
      </c>
      <c r="AN68" s="290">
        <f>B68</f>
        <v>0</v>
      </c>
      <c r="AO68" s="309">
        <f>IF(AN68=0,0,VLOOKUP(AN68,SORTEIO!$A$21:$C$37,2,FALSE))</f>
        <v>0</v>
      </c>
      <c r="AP68" s="300">
        <f>IF(AN68=0,0,VLOOKUP(AN68,SORTEIO!$A$21:$C$37,3,FALSE))</f>
        <v>0</v>
      </c>
      <c r="AQ68" s="313"/>
      <c r="AR68" s="220" t="str">
        <f>IF(AND(Y70=0,Z70=0),"",Y70&amp;" - "&amp;Z70)</f>
        <v/>
      </c>
      <c r="AS68" s="221" t="str">
        <f>IF(AND(Y68=0,Z68=0),"",Y68&amp;" - "&amp;Z68)</f>
        <v/>
      </c>
      <c r="AT68" s="222" t="str">
        <f>IF(AND(Y72=0,Z72=0),"",Y72&amp;" - "&amp;Z72)</f>
        <v/>
      </c>
      <c r="AU68" s="274">
        <f>AI68</f>
        <v>0</v>
      </c>
      <c r="AV68" s="312" t="str">
        <f>IF(AJ69="",AJ68,AJ69)</f>
        <v/>
      </c>
      <c r="AY68" s="200">
        <f>AO68</f>
        <v>0</v>
      </c>
      <c r="AZ68" s="200">
        <f>AP68</f>
        <v>0</v>
      </c>
    </row>
    <row r="69" spans="1:52" s="200" customFormat="1" x14ac:dyDescent="0.25">
      <c r="A69" s="5">
        <v>2</v>
      </c>
      <c r="B69" s="195"/>
      <c r="C69" s="230">
        <v>2</v>
      </c>
      <c r="D69" s="230">
        <v>4</v>
      </c>
      <c r="E69" s="181"/>
      <c r="F69" s="198"/>
      <c r="G69" s="190"/>
      <c r="H69" s="191"/>
      <c r="I69" s="186"/>
      <c r="J69" s="198"/>
      <c r="K69" s="190"/>
      <c r="L69" s="191"/>
      <c r="M69" s="186"/>
      <c r="N69" s="182"/>
      <c r="O69" s="236">
        <f t="shared" si="68"/>
        <v>0</v>
      </c>
      <c r="P69" s="236">
        <f t="shared" si="69"/>
        <v>0</v>
      </c>
      <c r="Q69" s="236">
        <f t="shared" si="70"/>
        <v>0</v>
      </c>
      <c r="R69" s="236">
        <f t="shared" si="71"/>
        <v>0</v>
      </c>
      <c r="S69" s="236">
        <f t="shared" si="72"/>
        <v>0</v>
      </c>
      <c r="T69" s="236">
        <f t="shared" si="73"/>
        <v>0</v>
      </c>
      <c r="U69" s="236">
        <f t="shared" si="74"/>
        <v>0</v>
      </c>
      <c r="V69" s="236">
        <f t="shared" si="75"/>
        <v>0</v>
      </c>
      <c r="W69" s="236">
        <f t="shared" si="76"/>
        <v>0</v>
      </c>
      <c r="X69" s="236">
        <f t="shared" si="77"/>
        <v>0</v>
      </c>
      <c r="Y69" s="237">
        <f t="shared" si="78"/>
        <v>0</v>
      </c>
      <c r="Z69" s="237">
        <f t="shared" si="79"/>
        <v>0</v>
      </c>
      <c r="AA69" s="238">
        <f t="shared" si="80"/>
        <v>0</v>
      </c>
      <c r="AB69" s="238">
        <f t="shared" si="81"/>
        <v>0</v>
      </c>
      <c r="AC69" s="239" t="str">
        <f t="shared" si="82"/>
        <v/>
      </c>
      <c r="AD69" s="239" t="str">
        <f t="shared" si="83"/>
        <v/>
      </c>
      <c r="AE69" s="239" t="str">
        <f t="shared" si="84"/>
        <v/>
      </c>
      <c r="AF69" s="239" t="str">
        <f t="shared" si="85"/>
        <v/>
      </c>
      <c r="AG69" s="239" t="str">
        <f t="shared" si="86"/>
        <v/>
      </c>
      <c r="AH69" s="240" t="str">
        <f t="shared" si="87"/>
        <v/>
      </c>
      <c r="AI69" s="241"/>
      <c r="AJ69" s="247"/>
      <c r="AK69" s="242"/>
      <c r="AL69" s="219"/>
      <c r="AM69" s="307"/>
      <c r="AN69" s="291"/>
      <c r="AO69" s="304"/>
      <c r="AP69" s="301"/>
      <c r="AQ69" s="314"/>
      <c r="AR69" s="223" t="str">
        <f>AH70</f>
        <v/>
      </c>
      <c r="AS69" s="224" t="str">
        <f>AH68</f>
        <v/>
      </c>
      <c r="AT69" s="225" t="str">
        <f>AH72</f>
        <v/>
      </c>
      <c r="AU69" s="275"/>
      <c r="AV69" s="310"/>
    </row>
    <row r="70" spans="1:52" s="200" customFormat="1" x14ac:dyDescent="0.25">
      <c r="A70" s="5">
        <v>3</v>
      </c>
      <c r="B70" s="195"/>
      <c r="C70" s="230">
        <v>1</v>
      </c>
      <c r="D70" s="230">
        <v>2</v>
      </c>
      <c r="E70" s="181"/>
      <c r="F70" s="198"/>
      <c r="G70" s="190"/>
      <c r="H70" s="191"/>
      <c r="I70" s="186"/>
      <c r="J70" s="198"/>
      <c r="K70" s="190"/>
      <c r="L70" s="191"/>
      <c r="M70" s="186"/>
      <c r="N70" s="182"/>
      <c r="O70" s="236">
        <f t="shared" si="68"/>
        <v>0</v>
      </c>
      <c r="P70" s="236">
        <f t="shared" si="69"/>
        <v>0</v>
      </c>
      <c r="Q70" s="236">
        <f t="shared" si="70"/>
        <v>0</v>
      </c>
      <c r="R70" s="236">
        <f t="shared" si="71"/>
        <v>0</v>
      </c>
      <c r="S70" s="236">
        <f t="shared" si="72"/>
        <v>0</v>
      </c>
      <c r="T70" s="236">
        <f t="shared" si="73"/>
        <v>0</v>
      </c>
      <c r="U70" s="236">
        <f t="shared" si="74"/>
        <v>0</v>
      </c>
      <c r="V70" s="236">
        <f t="shared" si="75"/>
        <v>0</v>
      </c>
      <c r="W70" s="236">
        <f t="shared" si="76"/>
        <v>0</v>
      </c>
      <c r="X70" s="236">
        <f t="shared" si="77"/>
        <v>0</v>
      </c>
      <c r="Y70" s="237">
        <f t="shared" si="78"/>
        <v>0</v>
      </c>
      <c r="Z70" s="237">
        <f t="shared" si="79"/>
        <v>0</v>
      </c>
      <c r="AA70" s="238">
        <f t="shared" si="80"/>
        <v>0</v>
      </c>
      <c r="AB70" s="238">
        <f t="shared" si="81"/>
        <v>0</v>
      </c>
      <c r="AC70" s="239" t="str">
        <f t="shared" si="82"/>
        <v/>
      </c>
      <c r="AD70" s="239" t="str">
        <f t="shared" si="83"/>
        <v/>
      </c>
      <c r="AE70" s="239" t="str">
        <f t="shared" si="84"/>
        <v/>
      </c>
      <c r="AF70" s="239" t="str">
        <f t="shared" si="85"/>
        <v/>
      </c>
      <c r="AG70" s="239" t="str">
        <f t="shared" si="86"/>
        <v/>
      </c>
      <c r="AH70" s="240" t="str">
        <f t="shared" si="87"/>
        <v/>
      </c>
      <c r="AI70" s="241">
        <f>SUMIF(C68:C75,2,AA68:AA75)+SUMIF(D68:D75,2,AB68:AB75)</f>
        <v>0</v>
      </c>
      <c r="AJ70" s="241" t="str">
        <f>IF(AI70&lt;&gt;0,RANK(AI70,AI68:AI75),"")</f>
        <v/>
      </c>
      <c r="AK70" s="242"/>
      <c r="AL70" s="219"/>
      <c r="AM70" s="292">
        <v>2</v>
      </c>
      <c r="AN70" s="294">
        <f>B69</f>
        <v>0</v>
      </c>
      <c r="AO70" s="296">
        <f>IF(AN70=0,0,VLOOKUP(AN70,SORTEIO!$A$21:$C$37,2,FALSE))</f>
        <v>0</v>
      </c>
      <c r="AP70" s="298">
        <f>IF(AN70=0,0,VLOOKUP(AN70,SORTEIO!$A$21:$C$37,3,FALSE))</f>
        <v>0</v>
      </c>
      <c r="AQ70" s="278" t="str">
        <f>IF(AND(Y70=0,Z70=0),"",Z70&amp;" - "&amp;Y70)</f>
        <v/>
      </c>
      <c r="AR70" s="279"/>
      <c r="AS70" s="226" t="str">
        <f>IF(AND(Y73=0,Z73=0),"",Y73&amp;" - "&amp;Z73)</f>
        <v/>
      </c>
      <c r="AT70" s="227" t="str">
        <f>IF(AND(Y69=0,Z69=0),"",Y69&amp;" - "&amp;Z69)</f>
        <v/>
      </c>
      <c r="AU70" s="275">
        <f>AI70</f>
        <v>0</v>
      </c>
      <c r="AV70" s="310" t="str">
        <f t="shared" ref="AV70" si="88">IF(AJ71="",AJ70,AJ71)</f>
        <v/>
      </c>
      <c r="AY70" s="200">
        <f>AO70</f>
        <v>0</v>
      </c>
      <c r="AZ70" s="200">
        <f>AP70</f>
        <v>0</v>
      </c>
    </row>
    <row r="71" spans="1:52" s="200" customFormat="1" ht="15.75" thickBot="1" x14ac:dyDescent="0.3">
      <c r="A71" s="5">
        <v>4</v>
      </c>
      <c r="B71" s="196"/>
      <c r="C71" s="230">
        <v>3</v>
      </c>
      <c r="D71" s="230">
        <v>4</v>
      </c>
      <c r="E71" s="181"/>
      <c r="F71" s="198"/>
      <c r="G71" s="190"/>
      <c r="H71" s="191"/>
      <c r="I71" s="186"/>
      <c r="J71" s="198"/>
      <c r="K71" s="190"/>
      <c r="L71" s="191"/>
      <c r="M71" s="186"/>
      <c r="N71" s="182"/>
      <c r="O71" s="236">
        <f t="shared" si="68"/>
        <v>0</v>
      </c>
      <c r="P71" s="236">
        <f t="shared" si="69"/>
        <v>0</v>
      </c>
      <c r="Q71" s="236">
        <f t="shared" si="70"/>
        <v>0</v>
      </c>
      <c r="R71" s="236">
        <f t="shared" si="71"/>
        <v>0</v>
      </c>
      <c r="S71" s="236">
        <f t="shared" si="72"/>
        <v>0</v>
      </c>
      <c r="T71" s="236">
        <f t="shared" si="73"/>
        <v>0</v>
      </c>
      <c r="U71" s="236">
        <f t="shared" si="74"/>
        <v>0</v>
      </c>
      <c r="V71" s="236">
        <f t="shared" si="75"/>
        <v>0</v>
      </c>
      <c r="W71" s="236">
        <f t="shared" si="76"/>
        <v>0</v>
      </c>
      <c r="X71" s="236">
        <f t="shared" si="77"/>
        <v>0</v>
      </c>
      <c r="Y71" s="237">
        <f t="shared" si="78"/>
        <v>0</v>
      </c>
      <c r="Z71" s="237">
        <f t="shared" si="79"/>
        <v>0</v>
      </c>
      <c r="AA71" s="238">
        <f t="shared" si="80"/>
        <v>0</v>
      </c>
      <c r="AB71" s="238">
        <f t="shared" si="81"/>
        <v>0</v>
      </c>
      <c r="AC71" s="239" t="str">
        <f t="shared" si="82"/>
        <v/>
      </c>
      <c r="AD71" s="239" t="str">
        <f t="shared" si="83"/>
        <v/>
      </c>
      <c r="AE71" s="239" t="str">
        <f t="shared" si="84"/>
        <v/>
      </c>
      <c r="AF71" s="239" t="str">
        <f t="shared" si="85"/>
        <v/>
      </c>
      <c r="AG71" s="239" t="str">
        <f t="shared" si="86"/>
        <v/>
      </c>
      <c r="AH71" s="240" t="str">
        <f t="shared" si="87"/>
        <v/>
      </c>
      <c r="AI71" s="241"/>
      <c r="AJ71" s="247"/>
      <c r="AK71" s="242"/>
      <c r="AL71" s="219"/>
      <c r="AM71" s="292"/>
      <c r="AN71" s="294"/>
      <c r="AO71" s="296"/>
      <c r="AP71" s="298"/>
      <c r="AQ71" s="278"/>
      <c r="AR71" s="279"/>
      <c r="AS71" s="224" t="str">
        <f>AH73</f>
        <v/>
      </c>
      <c r="AT71" s="225" t="str">
        <f>AH69</f>
        <v/>
      </c>
      <c r="AU71" s="275"/>
      <c r="AV71" s="310"/>
      <c r="AW71" s="249"/>
    </row>
    <row r="72" spans="1:52" s="200" customFormat="1" x14ac:dyDescent="0.25">
      <c r="A72" s="5" t="str">
        <f>IF(B67=5,5,"")</f>
        <v/>
      </c>
      <c r="B72" s="231"/>
      <c r="C72" s="230">
        <v>1</v>
      </c>
      <c r="D72" s="230">
        <v>4</v>
      </c>
      <c r="E72" s="181"/>
      <c r="F72" s="198"/>
      <c r="G72" s="190"/>
      <c r="H72" s="191"/>
      <c r="I72" s="186"/>
      <c r="J72" s="198"/>
      <c r="K72" s="190"/>
      <c r="L72" s="191"/>
      <c r="M72" s="186"/>
      <c r="N72" s="182"/>
      <c r="O72" s="236">
        <f t="shared" si="68"/>
        <v>0</v>
      </c>
      <c r="P72" s="236">
        <f t="shared" si="69"/>
        <v>0</v>
      </c>
      <c r="Q72" s="236">
        <f t="shared" si="70"/>
        <v>0</v>
      </c>
      <c r="R72" s="236">
        <f t="shared" si="71"/>
        <v>0</v>
      </c>
      <c r="S72" s="236">
        <f t="shared" si="72"/>
        <v>0</v>
      </c>
      <c r="T72" s="236">
        <f t="shared" si="73"/>
        <v>0</v>
      </c>
      <c r="U72" s="236">
        <f t="shared" si="74"/>
        <v>0</v>
      </c>
      <c r="V72" s="236">
        <f t="shared" si="75"/>
        <v>0</v>
      </c>
      <c r="W72" s="236">
        <f t="shared" si="76"/>
        <v>0</v>
      </c>
      <c r="X72" s="236">
        <f t="shared" si="77"/>
        <v>0</v>
      </c>
      <c r="Y72" s="237">
        <f t="shared" si="78"/>
        <v>0</v>
      </c>
      <c r="Z72" s="237">
        <f t="shared" si="79"/>
        <v>0</v>
      </c>
      <c r="AA72" s="238">
        <f t="shared" si="80"/>
        <v>0</v>
      </c>
      <c r="AB72" s="238">
        <f t="shared" si="81"/>
        <v>0</v>
      </c>
      <c r="AC72" s="239" t="str">
        <f t="shared" si="82"/>
        <v/>
      </c>
      <c r="AD72" s="239" t="str">
        <f t="shared" si="83"/>
        <v/>
      </c>
      <c r="AE72" s="239" t="str">
        <f t="shared" si="84"/>
        <v/>
      </c>
      <c r="AF72" s="239" t="str">
        <f t="shared" si="85"/>
        <v/>
      </c>
      <c r="AG72" s="239" t="str">
        <f t="shared" si="86"/>
        <v/>
      </c>
      <c r="AH72" s="240" t="str">
        <f t="shared" si="87"/>
        <v/>
      </c>
      <c r="AI72" s="241">
        <f>SUMIF(C68:C75,3,AA68:AA75)+SUMIF(D68:D75,3,AB68:AB75)</f>
        <v>0</v>
      </c>
      <c r="AJ72" s="241" t="str">
        <f>IF(AI72&lt;&gt;0,RANK(AI72,AI68:AI75),"")</f>
        <v/>
      </c>
      <c r="AK72" s="242"/>
      <c r="AL72" s="219"/>
      <c r="AM72" s="307">
        <v>3</v>
      </c>
      <c r="AN72" s="291">
        <f>B70</f>
        <v>0</v>
      </c>
      <c r="AO72" s="304">
        <f>IF(AN72=0,0,VLOOKUP(AN72,SORTEIO!$A$21:$C$37,2,FALSE))</f>
        <v>0</v>
      </c>
      <c r="AP72" s="301">
        <f>IF(AN72=0,0,VLOOKUP(AN72,SORTEIO!$A$21:$C$37,3,FALSE))</f>
        <v>0</v>
      </c>
      <c r="AQ72" s="278" t="str">
        <f>IF(AND(Y68=0,Z68=0),"",Z68&amp;" - "&amp;Y68)</f>
        <v/>
      </c>
      <c r="AR72" s="269" t="str">
        <f>IF(AND(Y73=0,Z73=0),"",Z73&amp;" - "&amp;Y73)</f>
        <v/>
      </c>
      <c r="AS72" s="282"/>
      <c r="AT72" s="228" t="str">
        <f>IF(AND(Y71=0,Z71=0),"",Y71&amp;" - "&amp;Z71)</f>
        <v/>
      </c>
      <c r="AU72" s="275">
        <f>AI72</f>
        <v>0</v>
      </c>
      <c r="AV72" s="310" t="str">
        <f t="shared" ref="AV72" si="89">IF(AJ73="",AJ72,AJ73)</f>
        <v/>
      </c>
      <c r="AY72" s="200">
        <f>AO72</f>
        <v>0</v>
      </c>
      <c r="AZ72" s="200">
        <f>AP72</f>
        <v>0</v>
      </c>
    </row>
    <row r="73" spans="1:52" s="200" customFormat="1" ht="15.75" thickBot="1" x14ac:dyDescent="0.3">
      <c r="A73" s="14"/>
      <c r="B73" s="14"/>
      <c r="C73" s="230">
        <v>2</v>
      </c>
      <c r="D73" s="230">
        <v>3</v>
      </c>
      <c r="E73" s="183"/>
      <c r="F73" s="199"/>
      <c r="G73" s="192"/>
      <c r="H73" s="193"/>
      <c r="I73" s="187"/>
      <c r="J73" s="199"/>
      <c r="K73" s="192"/>
      <c r="L73" s="193"/>
      <c r="M73" s="187"/>
      <c r="N73" s="184"/>
      <c r="O73" s="236">
        <f t="shared" si="68"/>
        <v>0</v>
      </c>
      <c r="P73" s="236">
        <f t="shared" si="69"/>
        <v>0</v>
      </c>
      <c r="Q73" s="236">
        <f t="shared" si="70"/>
        <v>0</v>
      </c>
      <c r="R73" s="236">
        <f t="shared" si="71"/>
        <v>0</v>
      </c>
      <c r="S73" s="236">
        <f t="shared" si="72"/>
        <v>0</v>
      </c>
      <c r="T73" s="236">
        <f t="shared" si="73"/>
        <v>0</v>
      </c>
      <c r="U73" s="236">
        <f t="shared" si="74"/>
        <v>0</v>
      </c>
      <c r="V73" s="236">
        <f t="shared" si="75"/>
        <v>0</v>
      </c>
      <c r="W73" s="236">
        <f t="shared" si="76"/>
        <v>0</v>
      </c>
      <c r="X73" s="236">
        <f t="shared" si="77"/>
        <v>0</v>
      </c>
      <c r="Y73" s="237">
        <f t="shared" si="78"/>
        <v>0</v>
      </c>
      <c r="Z73" s="237">
        <f t="shared" si="79"/>
        <v>0</v>
      </c>
      <c r="AA73" s="238">
        <f t="shared" si="80"/>
        <v>0</v>
      </c>
      <c r="AB73" s="238">
        <f t="shared" si="81"/>
        <v>0</v>
      </c>
      <c r="AC73" s="239" t="str">
        <f t="shared" si="82"/>
        <v/>
      </c>
      <c r="AD73" s="239" t="str">
        <f t="shared" si="83"/>
        <v/>
      </c>
      <c r="AE73" s="239" t="str">
        <f t="shared" si="84"/>
        <v/>
      </c>
      <c r="AF73" s="239" t="str">
        <f t="shared" si="85"/>
        <v/>
      </c>
      <c r="AG73" s="239" t="str">
        <f t="shared" si="86"/>
        <v/>
      </c>
      <c r="AH73" s="240" t="str">
        <f t="shared" si="87"/>
        <v/>
      </c>
      <c r="AI73" s="241"/>
      <c r="AJ73" s="247"/>
      <c r="AK73" s="242"/>
      <c r="AL73" s="219"/>
      <c r="AM73" s="307"/>
      <c r="AN73" s="291"/>
      <c r="AO73" s="304"/>
      <c r="AP73" s="301"/>
      <c r="AQ73" s="278"/>
      <c r="AR73" s="269"/>
      <c r="AS73" s="282"/>
      <c r="AT73" s="229" t="str">
        <f>AH71</f>
        <v/>
      </c>
      <c r="AU73" s="275"/>
      <c r="AV73" s="310"/>
    </row>
    <row r="74" spans="1:52" s="200" customFormat="1" x14ac:dyDescent="0.25">
      <c r="A74" s="14"/>
      <c r="B74" s="14"/>
      <c r="C74" s="230"/>
      <c r="D74" s="230"/>
      <c r="E74" s="232"/>
      <c r="F74" s="233"/>
      <c r="G74" s="234"/>
      <c r="H74" s="235"/>
      <c r="I74" s="232"/>
      <c r="J74" s="233"/>
      <c r="K74" s="234"/>
      <c r="L74" s="235"/>
      <c r="M74" s="232"/>
      <c r="N74" s="233"/>
      <c r="O74" s="236">
        <f t="shared" si="68"/>
        <v>0</v>
      </c>
      <c r="P74" s="236">
        <f t="shared" si="69"/>
        <v>0</v>
      </c>
      <c r="Q74" s="236">
        <f t="shared" si="70"/>
        <v>0</v>
      </c>
      <c r="R74" s="236">
        <f t="shared" si="71"/>
        <v>0</v>
      </c>
      <c r="S74" s="236">
        <f t="shared" si="72"/>
        <v>0</v>
      </c>
      <c r="T74" s="236">
        <f t="shared" si="73"/>
        <v>0</v>
      </c>
      <c r="U74" s="236">
        <f t="shared" si="74"/>
        <v>0</v>
      </c>
      <c r="V74" s="236">
        <f t="shared" si="75"/>
        <v>0</v>
      </c>
      <c r="W74" s="236">
        <f t="shared" si="76"/>
        <v>0</v>
      </c>
      <c r="X74" s="236">
        <f t="shared" si="77"/>
        <v>0</v>
      </c>
      <c r="Y74" s="237">
        <f t="shared" si="78"/>
        <v>0</v>
      </c>
      <c r="Z74" s="237">
        <f t="shared" si="79"/>
        <v>0</v>
      </c>
      <c r="AA74" s="238">
        <f t="shared" si="80"/>
        <v>0</v>
      </c>
      <c r="AB74" s="238">
        <f t="shared" si="81"/>
        <v>0</v>
      </c>
      <c r="AC74" s="239" t="str">
        <f t="shared" si="82"/>
        <v/>
      </c>
      <c r="AD74" s="239" t="str">
        <f t="shared" si="83"/>
        <v/>
      </c>
      <c r="AE74" s="239" t="str">
        <f t="shared" si="84"/>
        <v/>
      </c>
      <c r="AF74" s="239" t="str">
        <f t="shared" si="85"/>
        <v/>
      </c>
      <c r="AG74" s="239" t="str">
        <f t="shared" si="86"/>
        <v/>
      </c>
      <c r="AH74" s="240" t="str">
        <f t="shared" si="87"/>
        <v/>
      </c>
      <c r="AI74" s="241">
        <f>SUMIF(C68:C75,4,AA68:AA75)+SUMIF(D68:D75,4,AB68:AB75)</f>
        <v>0</v>
      </c>
      <c r="AJ74" s="241" t="str">
        <f>IF(AI74&lt;&gt;0,RANK(AI74,AI68:AI75),"")</f>
        <v/>
      </c>
      <c r="AK74" s="242"/>
      <c r="AL74" s="219"/>
      <c r="AM74" s="292">
        <v>4</v>
      </c>
      <c r="AN74" s="294">
        <f>B71</f>
        <v>0</v>
      </c>
      <c r="AO74" s="296">
        <f>IF(AN74=0,0,VLOOKUP(AN74,SORTEIO!$A$21:$C$37,2,FALSE))</f>
        <v>0</v>
      </c>
      <c r="AP74" s="298">
        <f>IF(AN74=0,0,VLOOKUP(AN74,SORTEIO!$A$21:$C$37,3,FALSE))</f>
        <v>0</v>
      </c>
      <c r="AQ74" s="270" t="str">
        <f>IF(AND(Y72=0,Z72=0),"",Z72&amp;" - "&amp;Y72)</f>
        <v/>
      </c>
      <c r="AR74" s="272" t="str">
        <f>IF(AND(Y69=0,Z69=0),"",Z69&amp;" - "&amp;Y69)</f>
        <v/>
      </c>
      <c r="AS74" s="272" t="str">
        <f>IF(AND(Y71=0,Z71=0),"",Z71&amp;" - "&amp;Y71)</f>
        <v/>
      </c>
      <c r="AT74" s="280"/>
      <c r="AU74" s="276">
        <f>AI74</f>
        <v>0</v>
      </c>
      <c r="AV74" s="310" t="str">
        <f t="shared" ref="AV74" si="90">IF(AJ75="",AJ74,AJ75)</f>
        <v/>
      </c>
      <c r="AY74" s="200">
        <f>AO74</f>
        <v>0</v>
      </c>
      <c r="AZ74" s="200">
        <f>AP74</f>
        <v>0</v>
      </c>
    </row>
    <row r="75" spans="1:52" s="200" customFormat="1" ht="15.75" thickBot="1" x14ac:dyDescent="0.3">
      <c r="AM75" s="293"/>
      <c r="AN75" s="295"/>
      <c r="AO75" s="297"/>
      <c r="AP75" s="299"/>
      <c r="AQ75" s="271"/>
      <c r="AR75" s="273"/>
      <c r="AS75" s="273"/>
      <c r="AT75" s="281"/>
      <c r="AU75" s="277"/>
      <c r="AV75" s="311"/>
    </row>
    <row r="76" spans="1:52" s="200" customFormat="1" x14ac:dyDescent="0.25"/>
    <row r="77" spans="1:52" s="200" customFormat="1" x14ac:dyDescent="0.25">
      <c r="AO77" s="244" t="s">
        <v>5</v>
      </c>
      <c r="AR77" s="200" t="s">
        <v>18</v>
      </c>
    </row>
    <row r="78" spans="1:52" s="200" customFormat="1" x14ac:dyDescent="0.25">
      <c r="AO78" s="212" t="s">
        <v>6</v>
      </c>
      <c r="AP78" s="245" t="s">
        <v>7</v>
      </c>
      <c r="AQ78" s="248" t="s">
        <v>12</v>
      </c>
      <c r="AR78" s="264" t="e">
        <f>VLOOKUP(1,AV$68:AZ$75,4,FALSE)</f>
        <v>#N/A</v>
      </c>
      <c r="AS78" s="265"/>
      <c r="AT78" s="266"/>
      <c r="AU78" s="267" t="e">
        <f>VLOOKUP(1,AV$68:AZ$75,5,FALSE)</f>
        <v>#N/A</v>
      </c>
      <c r="AV78" s="268"/>
    </row>
    <row r="79" spans="1:52" s="200" customFormat="1" x14ac:dyDescent="0.25">
      <c r="AO79" s="212" t="s">
        <v>8</v>
      </c>
      <c r="AP79" s="246" t="s">
        <v>9</v>
      </c>
      <c r="AQ79" s="248" t="s">
        <v>13</v>
      </c>
      <c r="AR79" s="264" t="e">
        <f>VLOOKUP(2,AV$68:AZ$75,4,FALSE)</f>
        <v>#N/A</v>
      </c>
      <c r="AS79" s="265"/>
      <c r="AT79" s="266"/>
      <c r="AU79" s="267" t="e">
        <f>VLOOKUP(2,AV$68:AZ$75,5,FALSE)</f>
        <v>#N/A</v>
      </c>
      <c r="AV79" s="268"/>
    </row>
    <row r="80" spans="1:52" s="200" customFormat="1" x14ac:dyDescent="0.25">
      <c r="AO80" s="212" t="s">
        <v>10</v>
      </c>
      <c r="AP80" s="246" t="s">
        <v>11</v>
      </c>
      <c r="AQ80" s="248" t="s">
        <v>14</v>
      </c>
      <c r="AR80" s="264" t="e">
        <f>VLOOKUP(3,AV$68:AZ$75,4,FALSE)</f>
        <v>#N/A</v>
      </c>
      <c r="AS80" s="265"/>
      <c r="AT80" s="266"/>
      <c r="AU80" s="267" t="e">
        <f>VLOOKUP(3,AV$68:AZ$75,5,FALSE)</f>
        <v>#N/A</v>
      </c>
      <c r="AV80" s="268"/>
    </row>
    <row r="81" spans="43:48" s="200" customFormat="1" x14ac:dyDescent="0.25">
      <c r="AQ81" s="248" t="s">
        <v>15</v>
      </c>
      <c r="AR81" s="264" t="e">
        <f>VLOOKUP(4,AV$68:AZ$75,4,FALSE)</f>
        <v>#N/A</v>
      </c>
      <c r="AS81" s="265"/>
      <c r="AT81" s="266"/>
      <c r="AU81" s="267" t="e">
        <f>VLOOKUP(4,AV$68:AZ$75,5,FALSE)</f>
        <v>#N/A</v>
      </c>
      <c r="AV81" s="268"/>
    </row>
    <row r="82" spans="43:48" s="200" customFormat="1" x14ac:dyDescent="0.25"/>
    <row r="83" spans="43:48" s="200" customFormat="1" x14ac:dyDescent="0.25"/>
    <row r="84" spans="43:48" s="200" customFormat="1" x14ac:dyDescent="0.25"/>
    <row r="85" spans="43:48" s="200" customFormat="1" x14ac:dyDescent="0.25"/>
  </sheetData>
  <sheetProtection algorithmName="SHA-512" hashValue="GEzuhI6npoM6X+ujcFY6VbWASEaWzFwD1KCsXYnhNxH0obudI0gkgUQNTIgaaVGu4/+8DQ/R+n87D6LbnjGviw==" saltValue="BJiYblAIi2zJX+33uUgUTA==" spinCount="100000" sheet="1" objects="1" scenarios="1"/>
  <dataConsolidate/>
  <mergeCells count="186"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AV74:AV75"/>
    <mergeCell ref="AR78:AT78"/>
    <mergeCell ref="AU78:AV78"/>
    <mergeCell ref="AR79:AT79"/>
    <mergeCell ref="AU79:AV79"/>
    <mergeCell ref="AR80:AT80"/>
    <mergeCell ref="AU80:AV80"/>
    <mergeCell ref="AR81:AT81"/>
    <mergeCell ref="AU81:AV81"/>
    <mergeCell ref="AR72:AR73"/>
    <mergeCell ref="AS72:AS73"/>
    <mergeCell ref="AU72:AU73"/>
    <mergeCell ref="AV72:AV73"/>
    <mergeCell ref="AU68:AU69"/>
    <mergeCell ref="AV68:AV69"/>
    <mergeCell ref="AM70:AM71"/>
    <mergeCell ref="AN70:AN71"/>
    <mergeCell ref="AO70:AO71"/>
    <mergeCell ref="AP70:AP71"/>
    <mergeCell ref="AQ70:AQ71"/>
    <mergeCell ref="AR70:AR71"/>
    <mergeCell ref="AU70:AU71"/>
    <mergeCell ref="AV70:AV71"/>
    <mergeCell ref="AM72:AM73"/>
    <mergeCell ref="AN72:AN73"/>
    <mergeCell ref="AO72:AO73"/>
    <mergeCell ref="AP72:AP73"/>
    <mergeCell ref="AQ72:AQ73"/>
    <mergeCell ref="AR63:AT63"/>
    <mergeCell ref="AU63:AV63"/>
    <mergeCell ref="AQ66:AQ67"/>
    <mergeCell ref="AR66:AR67"/>
    <mergeCell ref="AS66:AS67"/>
    <mergeCell ref="AT66:AT67"/>
    <mergeCell ref="AM68:AM69"/>
    <mergeCell ref="AN68:AN69"/>
    <mergeCell ref="AO68:AO69"/>
    <mergeCell ref="AP68:AP69"/>
    <mergeCell ref="AQ68:AQ69"/>
    <mergeCell ref="AU54:AU55"/>
    <mergeCell ref="AV54:AV55"/>
    <mergeCell ref="AU56:AU57"/>
    <mergeCell ref="AV56:AV57"/>
    <mergeCell ref="AR60:AT60"/>
    <mergeCell ref="AU60:AV60"/>
    <mergeCell ref="AR61:AT61"/>
    <mergeCell ref="AU61:AV61"/>
    <mergeCell ref="AR62:AT62"/>
    <mergeCell ref="AU62:AV62"/>
    <mergeCell ref="AT56:AT57"/>
    <mergeCell ref="AS56:AS57"/>
    <mergeCell ref="AS54:AS55"/>
    <mergeCell ref="AU50:AU51"/>
    <mergeCell ref="AV50:AV51"/>
    <mergeCell ref="AM52:AM53"/>
    <mergeCell ref="AN52:AN53"/>
    <mergeCell ref="AO52:AO53"/>
    <mergeCell ref="AP52:AP53"/>
    <mergeCell ref="AQ52:AQ53"/>
    <mergeCell ref="AR52:AR53"/>
    <mergeCell ref="AU52:AU53"/>
    <mergeCell ref="AV52:AV53"/>
    <mergeCell ref="AM50:AM51"/>
    <mergeCell ref="AN50:AN51"/>
    <mergeCell ref="AO50:AO51"/>
    <mergeCell ref="AP50:AP51"/>
    <mergeCell ref="AQ50:AQ51"/>
    <mergeCell ref="AU42:AV42"/>
    <mergeCell ref="AR43:AT43"/>
    <mergeCell ref="AU43:AV43"/>
    <mergeCell ref="AR44:AT44"/>
    <mergeCell ref="AU44:AV44"/>
    <mergeCell ref="AR45:AT45"/>
    <mergeCell ref="AU45:AV45"/>
    <mergeCell ref="AQ48:AQ49"/>
    <mergeCell ref="AR48:AR49"/>
    <mergeCell ref="AS48:AS49"/>
    <mergeCell ref="AT48:AT49"/>
    <mergeCell ref="AR42:AT42"/>
    <mergeCell ref="AU36:AU37"/>
    <mergeCell ref="AV36:AV37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M36:AM37"/>
    <mergeCell ref="AN36:AN37"/>
    <mergeCell ref="AO36:AO37"/>
    <mergeCell ref="AP36:AP37"/>
    <mergeCell ref="AQ36:AQ37"/>
    <mergeCell ref="AR36:AR37"/>
    <mergeCell ref="AS36:AS37"/>
    <mergeCell ref="AU32:AU33"/>
    <mergeCell ref="AV32:AV33"/>
    <mergeCell ref="AM34:AM35"/>
    <mergeCell ref="AN34:AN35"/>
    <mergeCell ref="AO34:AO35"/>
    <mergeCell ref="AP34:AP35"/>
    <mergeCell ref="AQ34:AQ35"/>
    <mergeCell ref="AR34:AR35"/>
    <mergeCell ref="AU34:AU35"/>
    <mergeCell ref="AV34:AV35"/>
    <mergeCell ref="AV20:AV21"/>
    <mergeCell ref="AV14:AV15"/>
    <mergeCell ref="AV16:AV17"/>
    <mergeCell ref="AV18:AV19"/>
    <mergeCell ref="AR25:AT25"/>
    <mergeCell ref="AR26:AT26"/>
    <mergeCell ref="AR27:AT27"/>
    <mergeCell ref="AQ30:AQ31"/>
    <mergeCell ref="AR30:AR31"/>
    <mergeCell ref="AS30:AS31"/>
    <mergeCell ref="AT30:AT31"/>
    <mergeCell ref="AQ14:AQ15"/>
    <mergeCell ref="AS12:AS13"/>
    <mergeCell ref="AM20:AM21"/>
    <mergeCell ref="AO20:AO21"/>
    <mergeCell ref="AP20:AP21"/>
    <mergeCell ref="AM16:AM17"/>
    <mergeCell ref="AO16:AO17"/>
    <mergeCell ref="AM54:AM55"/>
    <mergeCell ref="AP16:AP17"/>
    <mergeCell ref="AM18:AM19"/>
    <mergeCell ref="AO18:AO19"/>
    <mergeCell ref="AP18:AP19"/>
    <mergeCell ref="AM14:AM15"/>
    <mergeCell ref="AO14:AO15"/>
    <mergeCell ref="AP14:AP15"/>
    <mergeCell ref="AM32:AM33"/>
    <mergeCell ref="AN32:AN33"/>
    <mergeCell ref="AO32:AO33"/>
    <mergeCell ref="AN16:AN17"/>
    <mergeCell ref="AN18:AN19"/>
    <mergeCell ref="AN20:AN21"/>
    <mergeCell ref="AM56:AM57"/>
    <mergeCell ref="AN56:AN57"/>
    <mergeCell ref="AO56:AO57"/>
    <mergeCell ref="AP56:AP57"/>
    <mergeCell ref="AQ56:AQ57"/>
    <mergeCell ref="AR56:AR57"/>
    <mergeCell ref="AP32:AP33"/>
    <mergeCell ref="AQ32:AQ33"/>
    <mergeCell ref="AN54:AN55"/>
    <mergeCell ref="AO54:AO55"/>
    <mergeCell ref="AP54:AP55"/>
    <mergeCell ref="AQ54:AQ55"/>
    <mergeCell ref="AR54:AR55"/>
    <mergeCell ref="AM6:AV6"/>
    <mergeCell ref="AR24:AT24"/>
    <mergeCell ref="AU24:AV24"/>
    <mergeCell ref="AU25:AV25"/>
    <mergeCell ref="AU26:AV26"/>
    <mergeCell ref="AU27:AV27"/>
    <mergeCell ref="AR18:AR19"/>
    <mergeCell ref="AQ20:AQ21"/>
    <mergeCell ref="AR20:AR21"/>
    <mergeCell ref="AS20:AS21"/>
    <mergeCell ref="AU14:AU15"/>
    <mergeCell ref="AU16:AU17"/>
    <mergeCell ref="AU18:AU19"/>
    <mergeCell ref="AU20:AU21"/>
    <mergeCell ref="AQ16:AQ17"/>
    <mergeCell ref="AQ18:AQ19"/>
    <mergeCell ref="AR16:AR17"/>
    <mergeCell ref="AT20:AT21"/>
    <mergeCell ref="AS18:AS19"/>
    <mergeCell ref="AS9:AT9"/>
    <mergeCell ref="AQ12:AQ13"/>
    <mergeCell ref="AR12:AR13"/>
    <mergeCell ref="AT12:AT13"/>
    <mergeCell ref="AN14:AN1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46" min="38" max="4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F9E8-8F12-4569-B9CF-719DC0AA2126}">
  <dimension ref="A1:Y38"/>
  <sheetViews>
    <sheetView tabSelected="1" zoomScale="90" zoomScaleNormal="90" zoomScaleSheetLayoutView="80" workbookViewId="0">
      <selection activeCell="I7" sqref="I7"/>
    </sheetView>
  </sheetViews>
  <sheetFormatPr defaultRowHeight="15" x14ac:dyDescent="0.25"/>
  <cols>
    <col min="1" max="1" width="22.5703125" style="38" customWidth="1"/>
    <col min="2" max="2" width="3.140625" style="88" customWidth="1"/>
    <col min="3" max="3" width="22.5703125" style="38" customWidth="1"/>
    <col min="4" max="4" width="3.140625" style="38" customWidth="1"/>
    <col min="5" max="5" width="22.5703125" style="38" customWidth="1"/>
    <col min="6" max="6" width="3.140625" style="88" customWidth="1"/>
    <col min="7" max="7" width="22.5703125" style="33" customWidth="1"/>
    <col min="8" max="8" width="3.140625" style="88" customWidth="1"/>
    <col min="9" max="9" width="22.5703125" style="38" customWidth="1"/>
    <col min="10" max="10" width="3.140625" style="42" customWidth="1"/>
    <col min="11" max="11" width="1.85546875" style="151" customWidth="1"/>
    <col min="12" max="12" width="3.140625" style="42" customWidth="1"/>
    <col min="13" max="13" width="22.5703125" style="30" customWidth="1"/>
    <col min="14" max="14" width="3.140625" style="42" customWidth="1"/>
    <col min="15" max="15" width="22.5703125" style="33" customWidth="1"/>
    <col min="16" max="16" width="3.140625" style="42" customWidth="1"/>
    <col min="17" max="17" width="22.5703125" style="33" customWidth="1"/>
    <col min="18" max="18" width="3.140625" style="42" customWidth="1"/>
    <col min="19" max="19" width="22.5703125" style="37" customWidth="1"/>
    <col min="20" max="24" width="9.140625" style="30"/>
    <col min="25" max="25" width="0" style="30" hidden="1" customWidth="1"/>
    <col min="26" max="16384" width="9.140625" style="30"/>
  </cols>
  <sheetData>
    <row r="1" spans="1:25" ht="30" customHeight="1" x14ac:dyDescent="0.25">
      <c r="K1" s="144"/>
    </row>
    <row r="2" spans="1:25" ht="68.25" customHeight="1" x14ac:dyDescent="0.25">
      <c r="K2" s="144"/>
    </row>
    <row r="3" spans="1:25" customFormat="1" ht="30" customHeight="1" thickBot="1" x14ac:dyDescent="0.3">
      <c r="A3" s="161"/>
      <c r="B3" s="162"/>
      <c r="C3" s="161"/>
      <c r="D3" s="161"/>
      <c r="E3" s="163" t="s">
        <v>91</v>
      </c>
      <c r="F3" s="164"/>
      <c r="G3" s="163" t="s">
        <v>92</v>
      </c>
      <c r="H3" s="164"/>
      <c r="I3" s="163" t="s">
        <v>93</v>
      </c>
      <c r="J3" s="165"/>
      <c r="K3" s="151"/>
      <c r="L3" s="165"/>
      <c r="M3" s="163" t="s">
        <v>94</v>
      </c>
      <c r="N3" s="165"/>
      <c r="O3" s="163" t="s">
        <v>95</v>
      </c>
      <c r="P3" s="166"/>
      <c r="Q3" s="161"/>
      <c r="R3" s="162"/>
      <c r="S3" s="167"/>
    </row>
    <row r="4" spans="1:25" customFormat="1" ht="30" customHeight="1" thickBot="1" x14ac:dyDescent="0.3">
      <c r="A4" s="99"/>
      <c r="B4" s="162"/>
      <c r="C4" s="161"/>
      <c r="D4" s="161"/>
      <c r="E4" s="168" t="s">
        <v>100</v>
      </c>
      <c r="F4" s="162"/>
      <c r="G4" s="169" t="s">
        <v>96</v>
      </c>
      <c r="H4" s="162"/>
      <c r="I4" s="170" t="s">
        <v>20</v>
      </c>
      <c r="J4" s="162"/>
      <c r="K4" s="151"/>
      <c r="L4" s="172"/>
      <c r="M4" s="171">
        <f ca="1">NOW()</f>
        <v>44651.472064583337</v>
      </c>
      <c r="N4" s="162"/>
      <c r="O4" s="173"/>
      <c r="P4" s="166"/>
      <c r="Q4" s="161"/>
      <c r="R4" s="162"/>
    </row>
    <row r="5" spans="1:25" ht="30" customHeight="1" x14ac:dyDescent="0.25">
      <c r="A5" s="99" t="s">
        <v>66</v>
      </c>
      <c r="I5" s="100"/>
      <c r="K5" s="145"/>
      <c r="L5" s="132"/>
      <c r="M5" s="133"/>
      <c r="N5" s="88"/>
      <c r="O5" s="100"/>
      <c r="P5" s="131"/>
      <c r="S5" s="37" t="s">
        <v>65</v>
      </c>
      <c r="Y5" s="174" t="s">
        <v>96</v>
      </c>
    </row>
    <row r="6" spans="1:25" ht="19.5" customHeight="1" x14ac:dyDescent="0.25">
      <c r="A6" s="134" t="str">
        <f>IF(ISBLANK(H11),"",IF(H11&gt;H16,G16,G11))</f>
        <v/>
      </c>
      <c r="B6" s="250"/>
      <c r="I6" s="159"/>
      <c r="K6" s="146"/>
      <c r="M6" s="77"/>
      <c r="R6" s="250"/>
      <c r="S6" s="125" t="str">
        <f>IF(ISBLANK(R16),"",IF(R16&gt;B21,"",S16))</f>
        <v/>
      </c>
      <c r="Y6" s="174" t="s">
        <v>97</v>
      </c>
    </row>
    <row r="7" spans="1:25" ht="19.5" customHeight="1" x14ac:dyDescent="0.25">
      <c r="A7" s="135" t="str">
        <f>IF(ISBLANK(H11),"",IF(H11&gt;H16,G17,G12))</f>
        <v/>
      </c>
      <c r="B7" s="156" t="s">
        <v>72</v>
      </c>
      <c r="C7" s="134" t="str">
        <f>IF(B6,IF(B6&gt;B8,A6,A8),"")</f>
        <v/>
      </c>
      <c r="D7" s="33"/>
      <c r="K7" s="144"/>
      <c r="L7" s="88"/>
      <c r="Q7" s="160" t="str">
        <f>IF(R16,IF(R16&gt;B21,S16,IF(R6,IF(R6&gt;R8,S6,S8),"")),"")</f>
        <v/>
      </c>
      <c r="R7" s="124"/>
      <c r="S7" s="135" t="str">
        <f>IF(ISBLANK(R16),"",IF(R16&gt;B21,"",S17))</f>
        <v/>
      </c>
      <c r="Y7" s="174" t="s">
        <v>98</v>
      </c>
    </row>
    <row r="8" spans="1:25" ht="19.5" customHeight="1" x14ac:dyDescent="0.25">
      <c r="A8" s="153" t="str">
        <f>IF(ISBLANK(H26),"",IF(H26&gt;H21,G21,G26))</f>
        <v/>
      </c>
      <c r="B8" s="251"/>
      <c r="C8" s="135" t="str">
        <f>IF(B6,IF(B6&gt;B8,A7,A9),"")</f>
        <v/>
      </c>
      <c r="K8" s="147">
        <v>1</v>
      </c>
      <c r="L8" s="250"/>
      <c r="M8" s="125" t="e">
        <f>'Fase Grupos'!AR24:AR24</f>
        <v>#N/A</v>
      </c>
      <c r="P8" s="83"/>
      <c r="Q8" s="126" t="str">
        <f>IF(R16,IF(R16&gt;B21,S17,IF(R6,IF(R6&gt;R8,S7,S9),"")),"")</f>
        <v/>
      </c>
      <c r="R8" s="256"/>
      <c r="S8" s="153" t="str">
        <f>IF(ISBLANK(R16),"",IF(R16&gt;B21,"",A21))</f>
        <v/>
      </c>
      <c r="Y8" s="174" t="s">
        <v>99</v>
      </c>
    </row>
    <row r="9" spans="1:25" ht="19.5" customHeight="1" x14ac:dyDescent="0.25">
      <c r="A9" s="129" t="str">
        <f>IF(ISBLANK(H26),"",IF(H26&gt;H21,G22,G27))</f>
        <v/>
      </c>
      <c r="B9" s="157" t="s">
        <v>73</v>
      </c>
      <c r="C9" s="158"/>
      <c r="D9" s="102"/>
      <c r="I9" s="134" t="str">
        <f>IF(ISBLANK(L10),"",IF(L10&gt;L8,M8,M10))</f>
        <v/>
      </c>
      <c r="J9" s="252"/>
      <c r="K9" s="148"/>
      <c r="L9" s="124"/>
      <c r="M9" s="126" t="e">
        <f>'Fase Grupos'!AU24:AU24</f>
        <v>#N/A</v>
      </c>
      <c r="N9" s="250"/>
      <c r="O9" s="125" t="str">
        <f>IF(ISBLANK(L8),"",IF(L8&gt;L10,M8,M10))</f>
        <v/>
      </c>
      <c r="P9" s="88"/>
      <c r="R9" s="106"/>
      <c r="S9" s="127" t="str">
        <f>IF(ISBLANK(R16),"",IF(R16&gt;B21,"",A22))</f>
        <v/>
      </c>
    </row>
    <row r="10" spans="1:25" ht="19.5" customHeight="1" x14ac:dyDescent="0.25">
      <c r="A10" s="37"/>
      <c r="B10" s="30"/>
      <c r="C10" s="33"/>
      <c r="I10" s="136" t="str">
        <f>IF(ISBLANK(L10),"",IF(L10&gt;L8,M9,M11))</f>
        <v/>
      </c>
      <c r="J10" s="103"/>
      <c r="K10" s="147">
        <v>2</v>
      </c>
      <c r="L10" s="255"/>
      <c r="M10" s="128" t="e">
        <f>'Fase Grupos'!AR43:AR43</f>
        <v>#N/A</v>
      </c>
      <c r="N10" s="124"/>
      <c r="O10" s="126" t="str">
        <f>IF(ISBLANK(L8),"",IF(L8&gt;L10,M9,M11))</f>
        <v/>
      </c>
      <c r="P10" s="97"/>
      <c r="R10" s="30"/>
      <c r="S10" s="30"/>
      <c r="Y10" s="174" t="s">
        <v>100</v>
      </c>
    </row>
    <row r="11" spans="1:25" ht="19.5" customHeight="1" x14ac:dyDescent="0.25">
      <c r="A11" s="123" t="s">
        <v>68</v>
      </c>
      <c r="C11" s="33"/>
      <c r="G11" s="134" t="str">
        <f>IF(ISBLANK(J9),"",IF(J9&gt;J14,I9,I14))</f>
        <v/>
      </c>
      <c r="H11" s="252"/>
      <c r="I11" s="104"/>
      <c r="J11" s="105"/>
      <c r="K11" s="148"/>
      <c r="L11" s="106"/>
      <c r="M11" s="127" t="e">
        <f>'Fase Grupos'!AU43:AU43</f>
        <v>#N/A</v>
      </c>
      <c r="N11" s="88"/>
      <c r="O11" s="107"/>
      <c r="P11" s="250"/>
      <c r="Q11" s="125" t="str">
        <f>IF(ISBLANK(N9),"",IF(N9&gt;N14,O9,O14))</f>
        <v/>
      </c>
      <c r="R11" s="30"/>
      <c r="S11" s="30"/>
      <c r="Y11" s="174" t="s">
        <v>101</v>
      </c>
    </row>
    <row r="12" spans="1:25" ht="19.5" customHeight="1" x14ac:dyDescent="0.25">
      <c r="A12" s="134" t="str">
        <f>IF(ISBLANK(J14),"",IF(J14&gt;J9,I9,I14))</f>
        <v/>
      </c>
      <c r="B12" s="250"/>
      <c r="C12" s="33"/>
      <c r="G12" s="136" t="str">
        <f>IF(ISBLANK(J9),"",IF(J9&gt;J14,I10,I15))</f>
        <v/>
      </c>
      <c r="H12" s="92"/>
      <c r="I12" s="154" t="s">
        <v>74</v>
      </c>
      <c r="J12" s="108"/>
      <c r="K12" s="148"/>
      <c r="L12" s="106"/>
      <c r="M12" s="102"/>
      <c r="N12" s="88"/>
      <c r="O12" s="142" t="s">
        <v>69</v>
      </c>
      <c r="P12" s="124"/>
      <c r="Q12" s="126" t="str">
        <f>IF(ISBLANK(N9),"",IF(N9&gt;N14,O10,O15))</f>
        <v/>
      </c>
      <c r="S12" s="93"/>
      <c r="Y12" s="174" t="s">
        <v>102</v>
      </c>
    </row>
    <row r="13" spans="1:25" ht="19.5" customHeight="1" x14ac:dyDescent="0.25">
      <c r="A13" s="135" t="str">
        <f>IF(ISBLANK(J14),"",IF(J14&gt;J9,I10,I15))</f>
        <v/>
      </c>
      <c r="B13" s="156" t="s">
        <v>74</v>
      </c>
      <c r="C13" s="134" t="str">
        <f>IF(B12,IF(B12&gt;B14,A12,A14),"")</f>
        <v/>
      </c>
      <c r="D13" s="33"/>
      <c r="E13" s="30"/>
      <c r="F13" s="30"/>
      <c r="G13" s="138"/>
      <c r="I13" s="104"/>
      <c r="J13" s="108"/>
      <c r="K13" s="147">
        <v>3</v>
      </c>
      <c r="L13" s="250"/>
      <c r="M13" s="125" t="e">
        <f>'Fase Grupos'!AR61:AR61</f>
        <v>#N/A</v>
      </c>
      <c r="N13" s="108"/>
      <c r="O13" s="85"/>
      <c r="P13" s="94"/>
      <c r="Q13" s="30"/>
      <c r="R13" s="130"/>
      <c r="S13" s="95"/>
    </row>
    <row r="14" spans="1:25" ht="19.5" customHeight="1" x14ac:dyDescent="0.25">
      <c r="A14" s="153" t="str">
        <f>IF(ISBLANK(J24),"",IF(J24&gt;J19,I19,I24))</f>
        <v/>
      </c>
      <c r="B14" s="251"/>
      <c r="C14" s="135" t="str">
        <f>IF(B12,IF(B12&gt;B14,A13,A15),"")</f>
        <v/>
      </c>
      <c r="D14" s="33"/>
      <c r="E14" s="134" t="str">
        <f>IF(ISBLANK(H11),"",IF(H11&gt;H16,G11,G16))</f>
        <v/>
      </c>
      <c r="F14" s="252"/>
      <c r="G14" s="155" t="s">
        <v>72</v>
      </c>
      <c r="H14" s="30"/>
      <c r="I14" s="137" t="str">
        <f>IF(ISBLANK(L15),"",IF(L15&gt;L13,M13,M15))</f>
        <v/>
      </c>
      <c r="J14" s="254"/>
      <c r="K14" s="148"/>
      <c r="L14" s="124"/>
      <c r="M14" s="126" t="e">
        <f>'Fase Grupos'!AU61:AU61</f>
        <v>#N/A</v>
      </c>
      <c r="N14" s="255"/>
      <c r="O14" s="128" t="str">
        <f>IF(ISBLANK(L13),"",IF(L13&gt;L15,M13,M15))</f>
        <v/>
      </c>
      <c r="P14" s="94"/>
      <c r="Q14" s="85"/>
      <c r="S14" s="95"/>
    </row>
    <row r="15" spans="1:25" ht="19.5" customHeight="1" x14ac:dyDescent="0.25">
      <c r="A15" s="129" t="str">
        <f>IF(ISBLANK(J24),"",IF(J24&gt;J19,I20,I25))</f>
        <v/>
      </c>
      <c r="B15" s="157" t="s">
        <v>75</v>
      </c>
      <c r="C15" s="102"/>
      <c r="D15" s="102"/>
      <c r="E15" s="136" t="str">
        <f>IF(ISBLANK(H11),"",IF(H11&gt;H16,G12,G17))</f>
        <v/>
      </c>
      <c r="F15" s="92"/>
      <c r="G15" s="138"/>
      <c r="H15" s="30"/>
      <c r="I15" s="135" t="str">
        <f>IF(ISBLANK(L15),"",IF(L15&gt;L13,M14,M16))</f>
        <v/>
      </c>
      <c r="J15" s="110"/>
      <c r="K15" s="147">
        <v>4</v>
      </c>
      <c r="L15" s="255"/>
      <c r="M15" s="128" t="e">
        <f>'Fase Grupos'!AR78:AR78</f>
        <v>#N/A</v>
      </c>
      <c r="N15" s="106"/>
      <c r="O15" s="127" t="str">
        <f>IF(ISBLANK(L13),"",IF(L13&gt;L15,M14,M16))</f>
        <v/>
      </c>
      <c r="P15" s="94"/>
      <c r="Q15" s="85"/>
      <c r="S15" s="95"/>
    </row>
    <row r="16" spans="1:25" ht="19.5" customHeight="1" x14ac:dyDescent="0.25">
      <c r="E16" s="104"/>
      <c r="G16" s="137" t="str">
        <f>IF(ISBLANK(N19),"",IF(N19&gt;N24,O24,O19))</f>
        <v/>
      </c>
      <c r="H16" s="253"/>
      <c r="I16" s="33"/>
      <c r="K16" s="148"/>
      <c r="L16" s="106"/>
      <c r="M16" s="127" t="e">
        <f>'Fase Grupos'!AU78:AU78</f>
        <v>#N/A</v>
      </c>
      <c r="N16" s="111"/>
      <c r="P16" s="88"/>
      <c r="Q16" s="86" t="s">
        <v>70</v>
      </c>
      <c r="R16" s="250"/>
      <c r="S16" s="125" t="str">
        <f>IF(ISBLANK(P11),"",IF(P11&gt;P21,Q11,Q21))</f>
        <v/>
      </c>
    </row>
    <row r="17" spans="1:19" ht="19.5" customHeight="1" x14ac:dyDescent="0.25">
      <c r="E17" s="104"/>
      <c r="G17" s="135" t="str">
        <f>IF(ISBLANK(N19),"",IF(N19&gt;N24,O25,O20))</f>
        <v/>
      </c>
      <c r="H17" s="143" t="s">
        <v>67</v>
      </c>
      <c r="I17" s="33"/>
      <c r="K17" s="148"/>
      <c r="L17" s="88"/>
      <c r="M17" s="102"/>
      <c r="N17" s="111"/>
      <c r="P17" s="88"/>
      <c r="Q17" s="96"/>
      <c r="R17" s="124"/>
      <c r="S17" s="126" t="str">
        <f>IF(ISBLANK(P11),"",IF(P11&gt;P21,Q12,Q22))</f>
        <v/>
      </c>
    </row>
    <row r="18" spans="1:19" ht="19.5" customHeight="1" x14ac:dyDescent="0.25">
      <c r="C18" s="134" t="str">
        <f>IF(ISBLANK(F14),"",IF(F14&gt;F23,E14,E23))</f>
        <v/>
      </c>
      <c r="D18" s="252"/>
      <c r="E18" s="112"/>
      <c r="H18" s="108"/>
      <c r="I18" s="33"/>
      <c r="K18" s="147">
        <v>5</v>
      </c>
      <c r="L18" s="250"/>
      <c r="M18" s="125" t="e">
        <f>'Fase Grupos'!AR60:AR60</f>
        <v>#N/A</v>
      </c>
      <c r="N18" s="88"/>
      <c r="P18" s="88"/>
      <c r="Q18" s="85"/>
      <c r="S18" s="91"/>
    </row>
    <row r="19" spans="1:19" ht="19.5" customHeight="1" x14ac:dyDescent="0.25">
      <c r="C19" s="136" t="str">
        <f>IF(ISBLANK(F14),"",IF(F14&gt;F23,E15,E24))</f>
        <v/>
      </c>
      <c r="D19" s="92"/>
      <c r="E19" s="113"/>
      <c r="F19" s="108"/>
      <c r="H19" s="111"/>
      <c r="I19" s="134" t="str">
        <f>IF(ISBLANK(L20),"",IF(L20&gt;L18,M18,M20))</f>
        <v/>
      </c>
      <c r="J19" s="252"/>
      <c r="K19" s="148"/>
      <c r="L19" s="124"/>
      <c r="M19" s="126" t="e">
        <f>'Fase Grupos'!AU60:AU60</f>
        <v>#N/A</v>
      </c>
      <c r="N19" s="250"/>
      <c r="O19" s="125" t="str">
        <f>IF(ISBLANK(L18),"",IF(L18&gt;L20,M18,M20))</f>
        <v/>
      </c>
      <c r="P19" s="97"/>
      <c r="Q19" s="85"/>
      <c r="S19" s="98"/>
    </row>
    <row r="20" spans="1:19" ht="19.5" customHeight="1" x14ac:dyDescent="0.25">
      <c r="A20" s="30"/>
      <c r="B20" s="30"/>
      <c r="C20" s="112"/>
      <c r="D20" s="88"/>
      <c r="E20" s="104"/>
      <c r="F20" s="108"/>
      <c r="I20" s="136" t="str">
        <f>IF(ISBLANK(L20),"",IF(L20&gt;L18,M19,M21))</f>
        <v/>
      </c>
      <c r="J20" s="103"/>
      <c r="K20" s="147">
        <v>6</v>
      </c>
      <c r="L20" s="255"/>
      <c r="M20" s="128" t="e">
        <f>'Fase Grupos'!AR79:AR79</f>
        <v>#N/A</v>
      </c>
      <c r="N20" s="124"/>
      <c r="O20" s="126" t="str">
        <f>IF(ISBLANK(L18),"",IF(L18&gt;L20,M19,M21))</f>
        <v/>
      </c>
      <c r="P20" s="97"/>
      <c r="Q20" s="85"/>
      <c r="S20" s="98"/>
    </row>
    <row r="21" spans="1:19" ht="19.5" customHeight="1" x14ac:dyDescent="0.25">
      <c r="A21" s="134" t="str">
        <f>IF(ISBLANK(D18),"",IF(D18&gt;D25,C18,C25))</f>
        <v/>
      </c>
      <c r="B21" s="252"/>
      <c r="C21" s="113"/>
      <c r="D21" s="152"/>
      <c r="E21" s="104"/>
      <c r="F21" s="111"/>
      <c r="G21" s="134" t="str">
        <f>IF(ISBLANK(J19),"",IF(J19&gt;J24,I19,I24))</f>
        <v/>
      </c>
      <c r="H21" s="252"/>
      <c r="I21" s="104"/>
      <c r="J21" s="114"/>
      <c r="K21" s="148"/>
      <c r="L21" s="106"/>
      <c r="M21" s="127" t="e">
        <f>'Fase Grupos'!AU79:AU79</f>
        <v>#N/A</v>
      </c>
      <c r="N21" s="88"/>
      <c r="O21" s="86"/>
      <c r="P21" s="255"/>
      <c r="Q21" s="128" t="str">
        <f>IF(ISBLANK(N19),"",IF(N19&gt;N24,O19,O24))</f>
        <v/>
      </c>
      <c r="S21" s="91"/>
    </row>
    <row r="22" spans="1:19" ht="19.5" customHeight="1" x14ac:dyDescent="0.25">
      <c r="A22" s="136" t="str">
        <f>IF(ISBLANK(D18),"",IF(D18&gt;D25,C19,C26))</f>
        <v/>
      </c>
      <c r="B22" s="92"/>
      <c r="C22" s="113"/>
      <c r="D22" s="108"/>
      <c r="E22" s="104"/>
      <c r="F22" s="111"/>
      <c r="G22" s="136" t="str">
        <f>IF(ISBLANK(J19),"",IF(J19&gt;J24,I20,I25))</f>
        <v/>
      </c>
      <c r="H22" s="92"/>
      <c r="I22" s="154" t="s">
        <v>75</v>
      </c>
      <c r="J22" s="88"/>
      <c r="K22" s="148"/>
      <c r="L22" s="111"/>
      <c r="M22" s="102"/>
      <c r="N22" s="88"/>
      <c r="O22" s="86" t="s">
        <v>67</v>
      </c>
      <c r="P22" s="106"/>
      <c r="Q22" s="127" t="str">
        <f>IF(ISBLANK(N19),"",IF(N19&gt;N24,O20,O25))</f>
        <v/>
      </c>
      <c r="S22" s="91"/>
    </row>
    <row r="23" spans="1:19" ht="19.5" customHeight="1" x14ac:dyDescent="0.25">
      <c r="A23" s="104"/>
      <c r="C23" s="138"/>
      <c r="D23" s="37"/>
      <c r="E23" s="137" t="str">
        <f>IF(ISBLANK(H21),"",IF(H21&gt;H26,G21,G26))</f>
        <v/>
      </c>
      <c r="F23" s="254"/>
      <c r="G23" s="138"/>
      <c r="I23" s="104"/>
      <c r="J23" s="108"/>
      <c r="K23" s="147">
        <v>7</v>
      </c>
      <c r="L23" s="250"/>
      <c r="M23" s="125" t="e">
        <f>'Fase Grupos'!AR25:AR25</f>
        <v>#N/A</v>
      </c>
      <c r="N23" s="88"/>
      <c r="O23" s="85"/>
      <c r="P23" s="97"/>
      <c r="Q23" s="30"/>
      <c r="S23" s="98"/>
    </row>
    <row r="24" spans="1:19" ht="19.5" customHeight="1" x14ac:dyDescent="0.25">
      <c r="A24" s="104"/>
      <c r="C24" s="138"/>
      <c r="D24" s="37"/>
      <c r="E24" s="135" t="str">
        <f>IF(ISBLANK(H21),"",IF(H21&gt;H26,G22,G27))</f>
        <v/>
      </c>
      <c r="F24" s="111"/>
      <c r="G24" s="155" t="s">
        <v>73</v>
      </c>
      <c r="H24" s="30"/>
      <c r="I24" s="137" t="str">
        <f>IF(ISBLANK(L25),"",IF(L25&gt;L23,M23,M25))</f>
        <v/>
      </c>
      <c r="J24" s="251"/>
      <c r="K24" s="148"/>
      <c r="L24" s="124"/>
      <c r="M24" s="126" t="e">
        <f>'Fase Grupos'!AU25:AU25</f>
        <v>#N/A</v>
      </c>
      <c r="N24" s="255"/>
      <c r="O24" s="128" t="str">
        <f>IF(ISBLANK(L23),"",IF(L23&gt;L25,M23,M25))</f>
        <v/>
      </c>
      <c r="P24" s="97"/>
      <c r="S24" s="98"/>
    </row>
    <row r="25" spans="1:19" ht="19.5" customHeight="1" x14ac:dyDescent="0.25">
      <c r="A25" s="104"/>
      <c r="C25" s="137" t="str">
        <f>IF(ISBLANK(P11),"",IF(P11&gt;P21,Q21,Q11))</f>
        <v/>
      </c>
      <c r="D25" s="253"/>
      <c r="G25" s="138"/>
      <c r="H25" s="30"/>
      <c r="I25" s="135" t="str">
        <f>IF(ISBLANK(L25),"",IF(L25&gt;L23,M24,M26))</f>
        <v/>
      </c>
      <c r="J25" s="110"/>
      <c r="K25" s="147">
        <v>8</v>
      </c>
      <c r="L25" s="255"/>
      <c r="M25" s="128" t="e">
        <f>'Fase Grupos'!AR42:AR42</f>
        <v>#N/A</v>
      </c>
      <c r="N25" s="106"/>
      <c r="O25" s="127" t="str">
        <f>IF(ISBLANK(L23),"",IF(L23&gt;L25,M24,M26))</f>
        <v/>
      </c>
      <c r="P25" s="97"/>
      <c r="S25" s="98"/>
    </row>
    <row r="26" spans="1:19" ht="19.5" customHeight="1" x14ac:dyDescent="0.3">
      <c r="A26" s="104"/>
      <c r="C26" s="135" t="str">
        <f>IF(ISBLANK(P11),"",IF(P11&gt;P21,Q22,Q12))</f>
        <v/>
      </c>
      <c r="D26" s="78" t="s">
        <v>70</v>
      </c>
      <c r="G26" s="137" t="str">
        <f>IF(ISBLANK(N14),"",IF(N14&gt;N9,O9,O14))</f>
        <v/>
      </c>
      <c r="H26" s="253"/>
      <c r="K26" s="148"/>
      <c r="L26" s="106"/>
      <c r="M26" s="127" t="e">
        <f>'Fase Grupos'!AU42:AU42</f>
        <v>#N/A</v>
      </c>
      <c r="P26" s="89"/>
      <c r="S26" s="90"/>
    </row>
    <row r="27" spans="1:19" ht="19.5" customHeight="1" x14ac:dyDescent="0.3">
      <c r="A27" s="104"/>
      <c r="C27" s="33"/>
      <c r="D27" s="33"/>
      <c r="E27" s="33"/>
      <c r="G27" s="135" t="str">
        <f>IF(ISBLANK(N14),"",IF(N14&gt;N9,O10,O15))</f>
        <v/>
      </c>
      <c r="H27" s="78" t="s">
        <v>69</v>
      </c>
      <c r="I27" s="33"/>
      <c r="J27" s="88"/>
      <c r="K27" s="145"/>
      <c r="L27" s="88"/>
      <c r="M27" s="84"/>
      <c r="N27" s="88"/>
      <c r="P27" s="111"/>
      <c r="R27" s="88"/>
      <c r="S27" s="86"/>
    </row>
    <row r="28" spans="1:19" ht="19.5" customHeight="1" x14ac:dyDescent="0.3">
      <c r="A28" s="139"/>
      <c r="B28" s="140"/>
      <c r="C28" s="81"/>
      <c r="D28" s="81"/>
      <c r="E28" s="81"/>
      <c r="F28" s="87"/>
      <c r="G28" s="101"/>
      <c r="H28" s="101"/>
      <c r="I28" s="81"/>
      <c r="J28" s="87"/>
      <c r="K28" s="149"/>
      <c r="L28" s="87"/>
      <c r="M28" s="72"/>
      <c r="N28" s="87"/>
      <c r="O28" s="81"/>
      <c r="P28" s="79"/>
      <c r="Q28" s="81"/>
      <c r="R28" s="141"/>
      <c r="S28" s="80"/>
    </row>
    <row r="29" spans="1:19" ht="19.5" customHeight="1" x14ac:dyDescent="0.3">
      <c r="A29" s="102"/>
      <c r="B29" s="108"/>
      <c r="K29" s="144"/>
      <c r="M29" s="116"/>
      <c r="P29" s="83"/>
      <c r="S29" s="82"/>
    </row>
    <row r="30" spans="1:19" ht="19.5" customHeight="1" x14ac:dyDescent="0.3">
      <c r="I30" s="117"/>
      <c r="K30" s="150"/>
      <c r="L30" s="118"/>
      <c r="M30" s="71"/>
      <c r="O30" s="119"/>
      <c r="P30" s="83"/>
      <c r="S30" s="84"/>
    </row>
    <row r="31" spans="1:19" ht="18.75" x14ac:dyDescent="0.3">
      <c r="K31" s="144"/>
      <c r="L31" s="110"/>
      <c r="M31" s="120"/>
      <c r="O31" s="109"/>
      <c r="P31" s="83"/>
      <c r="S31" s="84"/>
    </row>
    <row r="32" spans="1:19" ht="18.75" x14ac:dyDescent="0.3">
      <c r="G32" s="119"/>
      <c r="J32" s="118"/>
      <c r="K32" s="150"/>
      <c r="M32" s="71"/>
      <c r="N32" s="118"/>
      <c r="P32" s="83"/>
      <c r="Q32" s="119"/>
      <c r="S32" s="84"/>
    </row>
    <row r="33" spans="3:19" ht="18.75" x14ac:dyDescent="0.3">
      <c r="E33" s="117"/>
      <c r="H33" s="108"/>
      <c r="K33" s="144"/>
      <c r="M33" s="116"/>
      <c r="P33" s="83"/>
      <c r="S33" s="84"/>
    </row>
    <row r="34" spans="3:19" ht="18.75" x14ac:dyDescent="0.3">
      <c r="G34" s="109"/>
      <c r="J34" s="110"/>
      <c r="K34" s="150"/>
      <c r="M34" s="71"/>
      <c r="P34" s="83"/>
      <c r="S34" s="84"/>
    </row>
    <row r="35" spans="3:19" ht="18.75" x14ac:dyDescent="0.3">
      <c r="K35" s="144"/>
      <c r="M35" s="120"/>
      <c r="P35" s="83"/>
      <c r="S35" s="84"/>
    </row>
    <row r="36" spans="3:19" x14ac:dyDescent="0.25">
      <c r="E36" s="102"/>
      <c r="H36" s="108"/>
      <c r="K36" s="150"/>
      <c r="M36" s="71"/>
      <c r="N36" s="121"/>
      <c r="Q36" s="122"/>
    </row>
    <row r="37" spans="3:19" ht="18.75" x14ac:dyDescent="0.3">
      <c r="C37" s="117"/>
      <c r="D37" s="117"/>
      <c r="E37" s="115"/>
      <c r="F37" s="108"/>
      <c r="H37" s="111"/>
      <c r="K37" s="144"/>
      <c r="M37" s="116"/>
      <c r="P37" s="83"/>
      <c r="S37" s="84"/>
    </row>
    <row r="38" spans="3:19" ht="18.75" x14ac:dyDescent="0.3">
      <c r="C38" s="102"/>
      <c r="D38" s="102"/>
      <c r="F38" s="108"/>
      <c r="I38" s="117"/>
      <c r="K38" s="150"/>
      <c r="L38" s="118"/>
      <c r="M38" s="71"/>
      <c r="O38" s="119"/>
      <c r="P38" s="83"/>
      <c r="S38" s="84"/>
    </row>
  </sheetData>
  <sheetProtection algorithmName="SHA-512" hashValue="9ZCGq9j637yP0bRiT9ePY9uedFofwThtFGK+TsnaNQxgwYwQG6ugLwHHVsZDVVx/gP+iSdX3RByN0ieL0WVKew==" saltValue="sIf5IYdl2jLoUcueZKsX5Q==" spinCount="100000" sheet="1" objects="1" scenarios="1"/>
  <dataValidations count="3">
    <dataValidation type="list" allowBlank="1" showInputMessage="1" showErrorMessage="1" sqref="E4" xr:uid="{327BFE15-896F-48D5-B94D-E236B3DBC393}">
      <formula1>$Y$10:$Y$12</formula1>
    </dataValidation>
    <dataValidation type="list" allowBlank="1" showInputMessage="1" showErrorMessage="1" sqref="G4" xr:uid="{AC874585-EFED-4AFA-B755-F79138F250A5}">
      <formula1>$Y$5:$Y$8</formula1>
    </dataValidation>
    <dataValidation type="list" allowBlank="1" showInputMessage="1" showErrorMessage="1" sqref="I4" xr:uid="{2B57EB77-BA0E-430B-BC26-3DB9BF0C9BDF}">
      <formula1>sexo</formula1>
    </dataValidation>
  </dataValidations>
  <pageMargins left="0.39370078740157483" right="0.39370078740157483" top="0.74803149606299213" bottom="0.74803149606299213" header="0.31496062992125984" footer="0.31496062992125984"/>
  <pageSetup paperSize="9" scale="61" orientation="landscape" r:id="rId1"/>
  <colBreaks count="1" manualBreakCount="1">
    <brk id="19" max="2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H25"/>
  <sheetViews>
    <sheetView view="pageBreakPreview" zoomScale="60" zoomScaleNormal="100" workbookViewId="0">
      <selection activeCell="P19" sqref="P19"/>
    </sheetView>
  </sheetViews>
  <sheetFormatPr defaultRowHeight="15" x14ac:dyDescent="0.25"/>
  <cols>
    <col min="1" max="1" width="6.85546875" style="30" customWidth="1"/>
    <col min="2" max="2" width="4.5703125" style="30" customWidth="1"/>
    <col min="3" max="3" width="2.42578125" style="30" customWidth="1"/>
    <col min="4" max="4" width="22.5703125" style="30" customWidth="1"/>
    <col min="5" max="5" width="30.7109375" style="30" customWidth="1"/>
    <col min="6" max="6" width="21.85546875" style="30" customWidth="1"/>
    <col min="7" max="7" width="2" style="30" customWidth="1"/>
    <col min="8" max="16384" width="9.140625" style="30"/>
  </cols>
  <sheetData>
    <row r="4" spans="1:8" ht="74.25" customHeight="1" x14ac:dyDescent="0.25"/>
    <row r="6" spans="1:8" ht="23.25" x14ac:dyDescent="0.35">
      <c r="A6" s="368" t="str">
        <f>SORTEIO!A7</f>
        <v>Campeonato Nacional</v>
      </c>
      <c r="B6" s="368"/>
      <c r="C6" s="368"/>
      <c r="D6" s="368"/>
      <c r="E6" s="368"/>
      <c r="F6" s="368"/>
    </row>
    <row r="7" spans="1:8" ht="15.75" x14ac:dyDescent="0.25">
      <c r="C7" s="31"/>
      <c r="D7" s="32"/>
      <c r="E7" s="32"/>
      <c r="F7" s="32"/>
    </row>
    <row r="8" spans="1:8" ht="15.75" x14ac:dyDescent="0.25">
      <c r="A8" s="75" t="s">
        <v>71</v>
      </c>
      <c r="B8" s="76"/>
      <c r="C8" s="176" t="str">
        <f>SORTEIO!B10</f>
        <v>CLDE</v>
      </c>
      <c r="D8" s="257"/>
    </row>
    <row r="9" spans="1:8" ht="15.75" x14ac:dyDescent="0.25">
      <c r="A9" s="74" t="s">
        <v>27</v>
      </c>
      <c r="B9" s="76"/>
      <c r="C9" s="177" t="str">
        <f>SORTEIO!B12</f>
        <v>Iniciado</v>
      </c>
      <c r="D9" s="258"/>
      <c r="E9" s="40"/>
      <c r="F9" s="39"/>
      <c r="G9" s="40"/>
      <c r="H9" s="40"/>
    </row>
    <row r="10" spans="1:8" ht="15.75" x14ac:dyDescent="0.25">
      <c r="A10" s="74" t="s">
        <v>64</v>
      </c>
      <c r="B10" s="74"/>
      <c r="C10" s="178" t="str">
        <f>SORTEIO!B14</f>
        <v>Masculino</v>
      </c>
      <c r="D10" s="259"/>
    </row>
    <row r="11" spans="1:8" ht="15.75" x14ac:dyDescent="0.25">
      <c r="A11" s="74"/>
      <c r="B11" s="74"/>
      <c r="C11" s="74"/>
    </row>
    <row r="12" spans="1:8" ht="23.25" x14ac:dyDescent="0.35">
      <c r="A12" s="369" t="s">
        <v>36</v>
      </c>
      <c r="B12" s="369"/>
      <c r="C12" s="369"/>
      <c r="D12" s="369"/>
      <c r="E12" s="369"/>
      <c r="F12" s="369"/>
    </row>
    <row r="13" spans="1:8" ht="19.5" thickBot="1" x14ac:dyDescent="0.35">
      <c r="B13" s="41"/>
    </row>
    <row r="14" spans="1:8" s="42" customFormat="1" ht="26.25" customHeight="1" thickTop="1" thickBot="1" x14ac:dyDescent="0.3">
      <c r="A14" s="47"/>
      <c r="B14" s="370" t="s">
        <v>4</v>
      </c>
      <c r="C14" s="371"/>
      <c r="D14" s="371"/>
      <c r="E14" s="50" t="s">
        <v>28</v>
      </c>
      <c r="F14" s="51" t="s">
        <v>100</v>
      </c>
    </row>
    <row r="15" spans="1:8" ht="23.25" customHeight="1" thickTop="1" x14ac:dyDescent="0.25">
      <c r="A15" s="52">
        <v>1</v>
      </c>
      <c r="B15" s="372" t="str">
        <f>IF('Mapa 8'!R8&gt;'Mapa 8'!R6,'Mapa 8'!A21,'Mapa 8'!S16)</f>
        <v/>
      </c>
      <c r="C15" s="373"/>
      <c r="D15" s="373"/>
      <c r="E15" s="48" t="str">
        <f>IF('Mapa 8'!R8&gt;'Mapa 8'!R6,'Mapa 8'!A22,'Mapa 8'!S17)</f>
        <v/>
      </c>
      <c r="F15" s="49" t="e">
        <f>VLOOKUP(B15,SORTEIO!$B$21:$D$36,3,FALSE)</f>
        <v>#N/A</v>
      </c>
    </row>
    <row r="16" spans="1:8" ht="23.25" customHeight="1" x14ac:dyDescent="0.25">
      <c r="A16" s="53">
        <v>2</v>
      </c>
      <c r="B16" s="366" t="str">
        <f>IF('Mapa 8'!R8&gt;'Mapa 8'!R6,'Mapa 8'!S16,'Mapa 8'!A21)</f>
        <v/>
      </c>
      <c r="C16" s="367"/>
      <c r="D16" s="367"/>
      <c r="E16" s="43" t="str">
        <f>IF('Mapa 8'!R8&gt;'Mapa 8'!R6,'Mapa 8'!S17,'Mapa 8'!A22)</f>
        <v/>
      </c>
      <c r="F16" s="44" t="e">
        <f>VLOOKUP(B16,SORTEIO!$B$21:$D$36,3,FALSE)</f>
        <v>#N/A</v>
      </c>
    </row>
    <row r="17" spans="1:6" ht="23.25" customHeight="1" x14ac:dyDescent="0.25">
      <c r="A17" s="53">
        <v>3</v>
      </c>
      <c r="B17" s="366" t="str">
        <f>IF('Mapa 8'!D18&gt;'Mapa 8'!D25,'Mapa 8'!C25,'Mapa 8'!C18)</f>
        <v/>
      </c>
      <c r="C17" s="367"/>
      <c r="D17" s="367"/>
      <c r="E17" s="43" t="str">
        <f>IF('Mapa 8'!D18&gt;'Mapa 8'!D25,'Mapa 8'!C26,'Mapa 8'!C19)</f>
        <v/>
      </c>
      <c r="F17" s="44" t="e">
        <f>VLOOKUP(B17,SORTEIO!$B$21:$D$36,3,FALSE)</f>
        <v>#N/A</v>
      </c>
    </row>
    <row r="18" spans="1:6" ht="23.25" customHeight="1" x14ac:dyDescent="0.25">
      <c r="A18" s="53">
        <v>4</v>
      </c>
      <c r="B18" s="366" t="str">
        <f>IF('Mapa 8'!F14&gt;'Mapa 8'!F23,'Mapa 8'!E23,'Mapa 8'!E14)</f>
        <v/>
      </c>
      <c r="C18" s="367"/>
      <c r="D18" s="367"/>
      <c r="E18" s="43" t="str">
        <f>IF('Mapa 8'!F14&gt;'Mapa 8'!F23,'Mapa 8'!E24,'Mapa 8'!E15)</f>
        <v/>
      </c>
      <c r="F18" s="44" t="e">
        <f>VLOOKUP(B18,SORTEIO!$B$21:$D$36,3,FALSE)</f>
        <v>#N/A</v>
      </c>
    </row>
    <row r="19" spans="1:6" ht="23.25" customHeight="1" x14ac:dyDescent="0.25">
      <c r="A19" s="53">
        <v>5</v>
      </c>
      <c r="B19" s="366" t="str">
        <f>IF('Mapa 8'!B6&gt;'Mapa 8'!B8,'Mapa 8'!A6,'Mapa 8'!A8)</f>
        <v/>
      </c>
      <c r="C19" s="367"/>
      <c r="D19" s="367"/>
      <c r="E19" s="43" t="str">
        <f>IF('Mapa 8'!B6&gt;'Mapa 8'!B8,'Mapa 8'!A7,'Mapa 8'!A9)</f>
        <v/>
      </c>
      <c r="F19" s="44" t="e">
        <f>VLOOKUP(B19,SORTEIO!$B$21:$D$36,3,FALSE)</f>
        <v>#N/A</v>
      </c>
    </row>
    <row r="20" spans="1:6" ht="23.25" customHeight="1" x14ac:dyDescent="0.25">
      <c r="A20" s="53">
        <v>6</v>
      </c>
      <c r="B20" s="366" t="str">
        <f>IF('Mapa 8'!B6&lt;'Mapa 8'!B8,'Mapa 8'!A6,'Mapa 8'!A8)</f>
        <v/>
      </c>
      <c r="C20" s="367"/>
      <c r="D20" s="367"/>
      <c r="E20" s="43" t="str">
        <f>IF('Mapa 8'!B6&lt;'Mapa 8'!B8,'Mapa 8'!A7,'Mapa 8'!A9)</f>
        <v/>
      </c>
      <c r="F20" s="44" t="e">
        <f>VLOOKUP(B20,SORTEIO!$B$21:$D$36,3,FALSE)</f>
        <v>#N/A</v>
      </c>
    </row>
    <row r="21" spans="1:6" ht="23.25" customHeight="1" x14ac:dyDescent="0.25">
      <c r="A21" s="53">
        <v>7</v>
      </c>
      <c r="B21" s="366" t="str">
        <f>IF('Mapa 8'!B12&gt;'Mapa 8'!B14,'Mapa 8'!A12,'Mapa 8'!A14)</f>
        <v/>
      </c>
      <c r="C21" s="367"/>
      <c r="D21" s="367"/>
      <c r="E21" s="43" t="str">
        <f>IF('Mapa 8'!B12&gt;'Mapa 8'!B14,'Mapa 8'!A13,'Mapa 8'!A15)</f>
        <v/>
      </c>
      <c r="F21" s="44" t="e">
        <f>VLOOKUP(B21,SORTEIO!$B$21:$D$36,3,FALSE)</f>
        <v>#N/A</v>
      </c>
    </row>
    <row r="22" spans="1:6" ht="23.25" customHeight="1" thickBot="1" x14ac:dyDescent="0.3">
      <c r="A22" s="54">
        <v>8</v>
      </c>
      <c r="B22" s="364" t="str">
        <f>IF('Mapa 8'!B12&lt;'Mapa 8'!B14,'Mapa 8'!A12,'Mapa 8'!A14)</f>
        <v/>
      </c>
      <c r="C22" s="365"/>
      <c r="D22" s="365"/>
      <c r="E22" s="45" t="str">
        <f>IF('Mapa 8'!B12&lt;'Mapa 8'!B14,'Mapa 8'!A13,'Mapa 8'!A15)</f>
        <v/>
      </c>
      <c r="F22" s="46" t="e">
        <f>VLOOKUP(B22,SORTEIO!$B$21:$D$36,3,FALSE)</f>
        <v>#N/A</v>
      </c>
    </row>
    <row r="23" spans="1:6" ht="15.75" thickTop="1" x14ac:dyDescent="0.25"/>
    <row r="25" spans="1:6" x14ac:dyDescent="0.25">
      <c r="E25" s="260">
        <f ca="1">NOW()</f>
        <v>44651.472064583337</v>
      </c>
    </row>
  </sheetData>
  <sheetProtection algorithmName="SHA-512" hashValue="8DjdWtAI0aQ6xJETmSvOj6ZhXUihOA2nVctt3PUVH6h3Bp6MskKdybkQ93B1sCY8yLcWOTSWrefKdaTdszoRFg==" saltValue="/ugA/2OyC5M5/vwc7Ob5AQ==" spinCount="100000" sheet="1" objects="1" scenarios="1"/>
  <mergeCells count="11">
    <mergeCell ref="A6:F6"/>
    <mergeCell ref="A12:F12"/>
    <mergeCell ref="B14:D14"/>
    <mergeCell ref="B15:D15"/>
    <mergeCell ref="B16:D16"/>
    <mergeCell ref="B22:D22"/>
    <mergeCell ref="B17:D17"/>
    <mergeCell ref="B18:D18"/>
    <mergeCell ref="B19:D19"/>
    <mergeCell ref="B20:D20"/>
    <mergeCell ref="B21:D21"/>
  </mergeCells>
  <phoneticPr fontId="3" type="noConversion"/>
  <dataValidations count="1">
    <dataValidation type="list" allowBlank="1" showInputMessage="1" showErrorMessage="1" sqref="D9:E9 G9:H9" xr:uid="{00000000-0002-0000-0700-000000000000}">
      <formula1>Escalão</formula1>
    </dataValidation>
  </dataValidations>
  <printOptions horizontalCentered="1"/>
  <pageMargins left="0.59055118110236227" right="0.59055118110236227" top="0.78740157480314965" bottom="0.78740157480314965" header="0" footer="0"/>
  <pageSetup paperSize="9" scale="92" orientation="portrait" horizontalDpi="4294967295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36"/>
  <sheetViews>
    <sheetView view="pageBreakPreview" zoomScale="60" zoomScaleNormal="70" workbookViewId="0">
      <selection activeCell="AU10" sqref="AU10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SORTEIO!A7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</v>
      </c>
      <c r="B6" s="346"/>
      <c r="C6" s="346"/>
      <c r="D6" s="346"/>
      <c r="E6" s="346"/>
      <c r="F6" s="346"/>
      <c r="G6" s="347"/>
      <c r="H6" s="345" t="s">
        <v>2</v>
      </c>
      <c r="I6" s="346"/>
      <c r="J6" s="346"/>
      <c r="K6" s="346"/>
      <c r="L6" s="346"/>
      <c r="M6" s="346"/>
      <c r="N6" s="347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thickTop="1" thickBot="1" x14ac:dyDescent="0.75">
      <c r="A9" s="327">
        <f>VLOOKUP(1,'Fase Grupos'!$AM$14:$AP$21,2,FALSE)</f>
        <v>0</v>
      </c>
      <c r="B9" s="328"/>
      <c r="C9" s="329"/>
      <c r="D9" s="330">
        <f>VLOOKUP(1,'Fase Grupos'!$AM$14:$AP$21,3,FALSE)</f>
        <v>0</v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>
        <f>VLOOKUP(1,'Fase Grupos'!$AM$14:$AP$21,4,FALSE)</f>
        <v>0</v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>
        <f>VLOOKUP(3,'Fase Grupos'!$AM$14:$AP$21,2,FALSE)</f>
        <v>0</v>
      </c>
      <c r="B10" s="328"/>
      <c r="C10" s="329"/>
      <c r="D10" s="330">
        <f>VLOOKUP(3,'Fase Grupos'!$AM$14:$AP$21,3,FALSE)</f>
        <v>0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>
        <f>VLOOKUP(3,'Fase Grupos'!$AM$14:$AP$21,4,FALSE)</f>
        <v>0</v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17"/>
      <c r="Z12" s="17"/>
      <c r="AA12" s="17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SORTEIO!A7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2</v>
      </c>
      <c r="B20" s="346"/>
      <c r="C20" s="346"/>
      <c r="D20" s="346"/>
      <c r="E20" s="346"/>
      <c r="F20" s="346"/>
      <c r="G20" s="347"/>
      <c r="H20" s="345" t="s">
        <v>2</v>
      </c>
      <c r="I20" s="346"/>
      <c r="J20" s="346"/>
      <c r="K20" s="346"/>
      <c r="L20" s="346"/>
      <c r="M20" s="346"/>
      <c r="N20" s="347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thickTop="1" thickBot="1" x14ac:dyDescent="0.75">
      <c r="A23" s="327">
        <f>VLOOKUP(2,'Fase Grupos'!$AM$14:$AP$21,2,FALSE)</f>
        <v>0</v>
      </c>
      <c r="B23" s="328"/>
      <c r="C23" s="329"/>
      <c r="D23" s="330">
        <f>VLOOKUP(2,'Fase Grupos'!$AM$14:$AP$21,3,FALSE)</f>
        <v>0</v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>
        <f>VLOOKUP(2,'Fase Grupos'!$AM$14:$AP$21,4,FALSE)</f>
        <v>0</v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>
        <f>VLOOKUP(4,'Fase Grupos'!$AM$14:$AP$21,2,FALSE)</f>
        <v>0</v>
      </c>
      <c r="B24" s="328"/>
      <c r="C24" s="329"/>
      <c r="D24" s="330">
        <f>VLOOKUP(4,'Fase Grupos'!$AM$14:$AP$21,3,FALSE)</f>
        <v>0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>
        <f>VLOOKUP(4,'Fase Grupos'!$AM$14:$AP$21,4,FALSE)</f>
        <v>0</v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17"/>
      <c r="Z26" s="17"/>
      <c r="AA26" s="17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SORTEIO!A7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3</v>
      </c>
      <c r="B34" s="346"/>
      <c r="C34" s="346"/>
      <c r="D34" s="346"/>
      <c r="E34" s="346"/>
      <c r="F34" s="346"/>
      <c r="G34" s="347"/>
      <c r="H34" s="345" t="s">
        <v>2</v>
      </c>
      <c r="I34" s="346"/>
      <c r="J34" s="346"/>
      <c r="K34" s="346"/>
      <c r="L34" s="346"/>
      <c r="M34" s="346"/>
      <c r="N34" s="347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thickTop="1" thickBot="1" x14ac:dyDescent="0.75">
      <c r="A37" s="327">
        <f>VLOOKUP(1,'Fase Grupos'!$AM$14:$AP$21,2,FALSE)</f>
        <v>0</v>
      </c>
      <c r="B37" s="328"/>
      <c r="C37" s="329"/>
      <c r="D37" s="330">
        <f>VLOOKUP(1,'Fase Grupos'!$AM$14:$AP$21,3,FALSE)</f>
        <v>0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>
        <f>VLOOKUP(1,'Fase Grupos'!$AM$14:$AP$21,4,FALSE)</f>
        <v>0</v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>
        <f>VLOOKUP(2,'Fase Grupos'!$AM$14:$AP$21,2,FALSE)</f>
        <v>0</v>
      </c>
      <c r="B38" s="328"/>
      <c r="C38" s="329"/>
      <c r="D38" s="330">
        <f>VLOOKUP(2,'Fase Grupos'!$AM$14:$AP$21,3,FALSE)</f>
        <v>0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>
        <f>VLOOKUP(2,'Fase Grupos'!$AM$14:$AP$21,4,FALSE)</f>
        <v>0</v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17"/>
      <c r="G40" s="17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17"/>
      <c r="Z40" s="17"/>
      <c r="AA40" s="17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SORTEIO!A7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4</v>
      </c>
      <c r="B48" s="346"/>
      <c r="C48" s="346"/>
      <c r="D48" s="346"/>
      <c r="E48" s="346"/>
      <c r="F48" s="346"/>
      <c r="G48" s="347"/>
      <c r="H48" s="345" t="s">
        <v>2</v>
      </c>
      <c r="I48" s="346"/>
      <c r="J48" s="346"/>
      <c r="K48" s="346"/>
      <c r="L48" s="346"/>
      <c r="M48" s="346"/>
      <c r="N48" s="347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thickTop="1" thickBot="1" x14ac:dyDescent="0.75">
      <c r="A51" s="327">
        <f>VLOOKUP(3,'Fase Grupos'!$AM$14:$AP$21,2,FALSE)</f>
        <v>0</v>
      </c>
      <c r="B51" s="328"/>
      <c r="C51" s="329"/>
      <c r="D51" s="330">
        <f>VLOOKUP(3,'Fase Grupos'!$AM$14:$AP$21,3,FALSE)</f>
        <v>0</v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>
        <f>VLOOKUP(3,'Fase Grupos'!$AM$14:$AP$21,4,FALSE)</f>
        <v>0</v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>
        <f>VLOOKUP(4,'Fase Grupos'!$AM$14:$AP$21,2,FALSE)</f>
        <v>0</v>
      </c>
      <c r="B52" s="328"/>
      <c r="C52" s="329"/>
      <c r="D52" s="330">
        <f>VLOOKUP(4,'Fase Grupos'!$AM$14:$AP$21,3,FALSE)</f>
        <v>0</v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>
        <f>VLOOKUP(4,'Fase Grupos'!$AM$14:$AP$21,4,FALSE)</f>
        <v>0</v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17"/>
      <c r="G54" s="17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17"/>
      <c r="Z54" s="17"/>
      <c r="AA54" s="17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  <row r="57" spans="1:45" s="24" customFormat="1" ht="36" x14ac:dyDescent="0.55000000000000004">
      <c r="A57" s="352" t="str">
        <f>SORTEIO!A7</f>
        <v>Campeonato Nacional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</row>
    <row r="58" spans="1:45" s="25" customFormat="1" ht="26.25" x14ac:dyDescent="0.4">
      <c r="A58" s="353" t="s">
        <v>37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</row>
    <row r="59" spans="1:45" s="15" customFormat="1" ht="19.5" thickBot="1" x14ac:dyDescent="0.35">
      <c r="A59" s="354" t="str">
        <f>CONCATENATE(SORTEIO!B12," ",SORTEIO!B14)</f>
        <v>Iniciado Masculino</v>
      </c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R59" s="16"/>
      <c r="S59" s="16"/>
      <c r="T59" s="16"/>
      <c r="U59" s="16"/>
      <c r="V59" s="16"/>
      <c r="W59" s="16"/>
      <c r="X59" s="16"/>
    </row>
    <row r="60" spans="1:45" s="25" customFormat="1" ht="27.75" thickTop="1" thickBot="1" x14ac:dyDescent="0.45">
      <c r="A60" s="355" t="s">
        <v>38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7"/>
    </row>
    <row r="61" spans="1:45" s="15" customFormat="1" ht="20.25" thickTop="1" thickBot="1" x14ac:dyDescent="0.35">
      <c r="A61" s="339" t="s">
        <v>39</v>
      </c>
      <c r="B61" s="340"/>
      <c r="C61" s="340"/>
      <c r="D61" s="340"/>
      <c r="E61" s="340"/>
      <c r="F61" s="340"/>
      <c r="G61" s="341"/>
      <c r="H61" s="339" t="s">
        <v>40</v>
      </c>
      <c r="I61" s="340"/>
      <c r="J61" s="340"/>
      <c r="K61" s="340"/>
      <c r="L61" s="340"/>
      <c r="M61" s="340"/>
      <c r="N61" s="341"/>
      <c r="O61" s="339" t="s">
        <v>41</v>
      </c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1"/>
      <c r="AC61" s="339" t="s">
        <v>42</v>
      </c>
      <c r="AD61" s="340"/>
      <c r="AE61" s="340"/>
      <c r="AF61" s="340"/>
      <c r="AG61" s="340"/>
      <c r="AH61" s="340"/>
      <c r="AI61" s="341"/>
      <c r="AJ61" s="339" t="s">
        <v>43</v>
      </c>
      <c r="AK61" s="340"/>
      <c r="AL61" s="340"/>
      <c r="AM61" s="340"/>
      <c r="AN61" s="340"/>
      <c r="AO61" s="340"/>
      <c r="AP61" s="341"/>
    </row>
    <row r="62" spans="1:45" s="26" customFormat="1" ht="63" thickTop="1" thickBot="1" x14ac:dyDescent="0.95">
      <c r="A62" s="345">
        <v>5</v>
      </c>
      <c r="B62" s="346"/>
      <c r="C62" s="346"/>
      <c r="D62" s="346"/>
      <c r="E62" s="346"/>
      <c r="F62" s="346"/>
      <c r="G62" s="347"/>
      <c r="H62" s="345" t="s">
        <v>2</v>
      </c>
      <c r="I62" s="346"/>
      <c r="J62" s="346"/>
      <c r="K62" s="346"/>
      <c r="L62" s="346"/>
      <c r="M62" s="346"/>
      <c r="N62" s="347"/>
      <c r="O62" s="348"/>
      <c r="P62" s="346"/>
      <c r="Q62" s="346"/>
      <c r="R62" s="346"/>
      <c r="S62" s="346"/>
      <c r="T62" s="346"/>
      <c r="U62" s="346"/>
      <c r="V62" s="346"/>
      <c r="W62" s="346"/>
      <c r="X62" s="18" t="s">
        <v>44</v>
      </c>
      <c r="Y62" s="346"/>
      <c r="Z62" s="346"/>
      <c r="AA62" s="346"/>
      <c r="AB62" s="347"/>
      <c r="AC62" s="349"/>
      <c r="AD62" s="350"/>
      <c r="AE62" s="350"/>
      <c r="AF62" s="350"/>
      <c r="AG62" s="350"/>
      <c r="AH62" s="350"/>
      <c r="AI62" s="351"/>
      <c r="AJ62" s="349"/>
      <c r="AK62" s="350"/>
      <c r="AL62" s="350"/>
      <c r="AM62" s="350"/>
      <c r="AN62" s="350"/>
      <c r="AO62" s="350"/>
      <c r="AP62" s="351"/>
      <c r="AS62" s="15"/>
    </row>
    <row r="63" spans="1:45" s="15" customFormat="1" ht="20.25" thickTop="1" thickBot="1" x14ac:dyDescent="0.35">
      <c r="R63" s="16"/>
      <c r="S63" s="16"/>
      <c r="T63" s="16"/>
      <c r="U63" s="16"/>
      <c r="V63" s="16"/>
      <c r="W63" s="16"/>
      <c r="X63" s="16"/>
    </row>
    <row r="64" spans="1:45" s="15" customFormat="1" ht="20.25" thickTop="1" thickBot="1" x14ac:dyDescent="0.35">
      <c r="A64" s="339" t="s">
        <v>45</v>
      </c>
      <c r="B64" s="340"/>
      <c r="C64" s="341"/>
      <c r="D64" s="339" t="s">
        <v>46</v>
      </c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1"/>
      <c r="R64" s="342" t="s">
        <v>76</v>
      </c>
      <c r="S64" s="343"/>
      <c r="T64" s="343"/>
      <c r="U64" s="343"/>
      <c r="V64" s="343"/>
      <c r="W64" s="343"/>
      <c r="X64" s="344"/>
      <c r="Y64" s="339" t="s">
        <v>47</v>
      </c>
      <c r="Z64" s="340"/>
      <c r="AA64" s="341"/>
      <c r="AB64" s="339" t="s">
        <v>48</v>
      </c>
      <c r="AC64" s="340"/>
      <c r="AD64" s="341"/>
      <c r="AE64" s="339" t="s">
        <v>49</v>
      </c>
      <c r="AF64" s="340"/>
      <c r="AG64" s="341"/>
      <c r="AH64" s="339" t="s">
        <v>50</v>
      </c>
      <c r="AI64" s="340"/>
      <c r="AJ64" s="341"/>
      <c r="AK64" s="339" t="s">
        <v>51</v>
      </c>
      <c r="AL64" s="340"/>
      <c r="AM64" s="341"/>
      <c r="AN64" s="339" t="s">
        <v>52</v>
      </c>
      <c r="AO64" s="340"/>
      <c r="AP64" s="341"/>
    </row>
    <row r="65" spans="1:45" s="27" customFormat="1" ht="48" thickTop="1" thickBot="1" x14ac:dyDescent="0.75">
      <c r="A65" s="327">
        <f>VLOOKUP(1,'Fase Grupos'!$AM$14:$AP$21,2,FALSE)</f>
        <v>0</v>
      </c>
      <c r="B65" s="328"/>
      <c r="C65" s="329"/>
      <c r="D65" s="330">
        <f>VLOOKUP(1,'Fase Grupos'!$AM$14:$AP$21,3,FALSE)</f>
        <v>0</v>
      </c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2"/>
      <c r="R65" s="333">
        <f>VLOOKUP(1,'Fase Grupos'!$AM$14:$AP$21,4,FALSE)</f>
        <v>0</v>
      </c>
      <c r="S65" s="334"/>
      <c r="T65" s="334"/>
      <c r="U65" s="334"/>
      <c r="V65" s="334"/>
      <c r="W65" s="334"/>
      <c r="X65" s="335"/>
      <c r="Y65" s="336"/>
      <c r="Z65" s="337"/>
      <c r="AA65" s="338"/>
      <c r="AB65" s="336"/>
      <c r="AC65" s="337"/>
      <c r="AD65" s="338"/>
      <c r="AE65" s="336"/>
      <c r="AF65" s="337"/>
      <c r="AG65" s="338"/>
      <c r="AH65" s="336"/>
      <c r="AI65" s="337"/>
      <c r="AJ65" s="338"/>
      <c r="AK65" s="336"/>
      <c r="AL65" s="337"/>
      <c r="AM65" s="338"/>
      <c r="AN65" s="336"/>
      <c r="AO65" s="337"/>
      <c r="AP65" s="338"/>
      <c r="AS65" s="28"/>
    </row>
    <row r="66" spans="1:45" s="27" customFormat="1" ht="48" customHeight="1" thickTop="1" thickBot="1" x14ac:dyDescent="0.75">
      <c r="A66" s="327">
        <f>VLOOKUP(4,'Fase Grupos'!$AM$14:$AP$21,2,FALSE)</f>
        <v>0</v>
      </c>
      <c r="B66" s="328"/>
      <c r="C66" s="329"/>
      <c r="D66" s="330">
        <f>VLOOKUP(4,'Fase Grupos'!$AM$14:$AP$21,3,FALSE)</f>
        <v>0</v>
      </c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2"/>
      <c r="R66" s="333">
        <f>VLOOKUP(4,'Fase Grupos'!$AM$14:$AP$21,4,FALSE)</f>
        <v>0</v>
      </c>
      <c r="S66" s="334"/>
      <c r="T66" s="334"/>
      <c r="U66" s="334"/>
      <c r="V66" s="334"/>
      <c r="W66" s="334"/>
      <c r="X66" s="335"/>
      <c r="Y66" s="336"/>
      <c r="Z66" s="337"/>
      <c r="AA66" s="338"/>
      <c r="AB66" s="336"/>
      <c r="AC66" s="337"/>
      <c r="AD66" s="338"/>
      <c r="AE66" s="336"/>
      <c r="AF66" s="337"/>
      <c r="AG66" s="338"/>
      <c r="AH66" s="336"/>
      <c r="AI66" s="337"/>
      <c r="AJ66" s="338"/>
      <c r="AK66" s="336"/>
      <c r="AL66" s="337"/>
      <c r="AM66" s="338"/>
      <c r="AN66" s="336"/>
      <c r="AO66" s="337"/>
      <c r="AP66" s="338"/>
    </row>
    <row r="67" spans="1:45" s="15" customFormat="1" ht="24" customHeight="1" thickTop="1" x14ac:dyDescent="0.3">
      <c r="R67" s="16"/>
      <c r="S67" s="16"/>
      <c r="T67" s="16"/>
      <c r="U67" s="16"/>
      <c r="V67" s="16"/>
      <c r="W67" s="16"/>
      <c r="X67" s="16"/>
    </row>
    <row r="68" spans="1:45" s="15" customFormat="1" ht="19.5" thickBot="1" x14ac:dyDescent="0.35">
      <c r="A68" s="325" t="s">
        <v>53</v>
      </c>
      <c r="B68" s="325"/>
      <c r="C68" s="325"/>
      <c r="D68" s="325"/>
      <c r="E68" s="325"/>
      <c r="F68" s="17"/>
      <c r="G68" s="17"/>
      <c r="H68" s="19"/>
      <c r="I68" s="19"/>
      <c r="J68" s="19"/>
      <c r="K68" s="19"/>
      <c r="L68" s="19"/>
      <c r="M68" s="19"/>
      <c r="N68" s="19"/>
      <c r="O68" s="19"/>
      <c r="P68" s="19"/>
      <c r="Q68" s="325" t="s">
        <v>54</v>
      </c>
      <c r="R68" s="325"/>
      <c r="S68" s="325"/>
      <c r="T68" s="325"/>
      <c r="U68" s="325"/>
      <c r="V68" s="325"/>
      <c r="W68" s="325"/>
      <c r="X68" s="20"/>
      <c r="Y68" s="17"/>
      <c r="Z68" s="17"/>
      <c r="AA68" s="17"/>
      <c r="AB68" s="19"/>
      <c r="AC68" s="19"/>
      <c r="AD68" s="19"/>
      <c r="AE68" s="19"/>
      <c r="AF68" s="19"/>
      <c r="AG68" s="19"/>
      <c r="AH68" s="19"/>
      <c r="AI68" s="325" t="s">
        <v>55</v>
      </c>
      <c r="AJ68" s="325"/>
      <c r="AK68" s="325"/>
      <c r="AL68" s="326"/>
      <c r="AM68" s="326"/>
      <c r="AN68" s="21" t="s">
        <v>44</v>
      </c>
      <c r="AO68" s="326"/>
      <c r="AP68" s="326"/>
    </row>
    <row r="69" spans="1:45" s="22" customFormat="1" ht="13.5" thickTop="1" x14ac:dyDescent="0.2">
      <c r="R69" s="23"/>
      <c r="S69" s="23"/>
      <c r="T69" s="23"/>
      <c r="U69" s="23"/>
      <c r="V69" s="23"/>
      <c r="W69" s="23"/>
      <c r="X69" s="23"/>
    </row>
    <row r="70" spans="1:45" s="22" customFormat="1" ht="12.75" x14ac:dyDescent="0.2">
      <c r="R70" s="23"/>
      <c r="S70" s="23"/>
      <c r="T70" s="23"/>
      <c r="U70" s="23"/>
      <c r="V70" s="23"/>
      <c r="W70" s="23"/>
      <c r="X70" s="23"/>
    </row>
    <row r="71" spans="1:45" s="24" customFormat="1" ht="36" x14ac:dyDescent="0.55000000000000004">
      <c r="A71" s="352" t="str">
        <f>SORTEIO!A7</f>
        <v>Campeonato Nacional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</row>
    <row r="72" spans="1:45" s="25" customFormat="1" ht="26.25" x14ac:dyDescent="0.4">
      <c r="A72" s="353" t="s">
        <v>37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</row>
    <row r="73" spans="1:45" s="15" customFormat="1" ht="19.5" thickBot="1" x14ac:dyDescent="0.35">
      <c r="A73" s="354" t="str">
        <f>CONCATENATE(SORTEIO!B12," ",SORTEIO!B14)</f>
        <v>Iniciado Masculino</v>
      </c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R73" s="16"/>
      <c r="S73" s="16"/>
      <c r="T73" s="16"/>
      <c r="U73" s="16"/>
      <c r="V73" s="16"/>
      <c r="W73" s="16"/>
      <c r="X73" s="16"/>
    </row>
    <row r="74" spans="1:45" s="25" customFormat="1" ht="27.75" thickTop="1" thickBot="1" x14ac:dyDescent="0.45">
      <c r="A74" s="355" t="s">
        <v>38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7"/>
    </row>
    <row r="75" spans="1:45" s="15" customFormat="1" ht="20.25" thickTop="1" thickBot="1" x14ac:dyDescent="0.35">
      <c r="A75" s="339" t="s">
        <v>39</v>
      </c>
      <c r="B75" s="340"/>
      <c r="C75" s="340"/>
      <c r="D75" s="340"/>
      <c r="E75" s="340"/>
      <c r="F75" s="340"/>
      <c r="G75" s="341"/>
      <c r="H75" s="339" t="s">
        <v>40</v>
      </c>
      <c r="I75" s="340"/>
      <c r="J75" s="340"/>
      <c r="K75" s="340"/>
      <c r="L75" s="340"/>
      <c r="M75" s="340"/>
      <c r="N75" s="341"/>
      <c r="O75" s="339" t="s">
        <v>41</v>
      </c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1"/>
      <c r="AC75" s="339" t="s">
        <v>42</v>
      </c>
      <c r="AD75" s="340"/>
      <c r="AE75" s="340"/>
      <c r="AF75" s="340"/>
      <c r="AG75" s="340"/>
      <c r="AH75" s="340"/>
      <c r="AI75" s="341"/>
      <c r="AJ75" s="339" t="s">
        <v>43</v>
      </c>
      <c r="AK75" s="340"/>
      <c r="AL75" s="340"/>
      <c r="AM75" s="340"/>
      <c r="AN75" s="340"/>
      <c r="AO75" s="340"/>
      <c r="AP75" s="341"/>
    </row>
    <row r="76" spans="1:45" s="26" customFormat="1" ht="63" thickTop="1" thickBot="1" x14ac:dyDescent="0.95">
      <c r="A76" s="345">
        <v>6</v>
      </c>
      <c r="B76" s="346"/>
      <c r="C76" s="346"/>
      <c r="D76" s="346"/>
      <c r="E76" s="346"/>
      <c r="F76" s="346"/>
      <c r="G76" s="347"/>
      <c r="H76" s="345" t="s">
        <v>2</v>
      </c>
      <c r="I76" s="346"/>
      <c r="J76" s="346"/>
      <c r="K76" s="346"/>
      <c r="L76" s="346"/>
      <c r="M76" s="346"/>
      <c r="N76" s="347"/>
      <c r="O76" s="348"/>
      <c r="P76" s="346"/>
      <c r="Q76" s="346"/>
      <c r="R76" s="346"/>
      <c r="S76" s="346"/>
      <c r="T76" s="346"/>
      <c r="U76" s="346"/>
      <c r="V76" s="346"/>
      <c r="W76" s="346"/>
      <c r="X76" s="18" t="s">
        <v>44</v>
      </c>
      <c r="Y76" s="346"/>
      <c r="Z76" s="346"/>
      <c r="AA76" s="346"/>
      <c r="AB76" s="347"/>
      <c r="AC76" s="349"/>
      <c r="AD76" s="350"/>
      <c r="AE76" s="350"/>
      <c r="AF76" s="350"/>
      <c r="AG76" s="350"/>
      <c r="AH76" s="350"/>
      <c r="AI76" s="351"/>
      <c r="AJ76" s="349"/>
      <c r="AK76" s="350"/>
      <c r="AL76" s="350"/>
      <c r="AM76" s="350"/>
      <c r="AN76" s="350"/>
      <c r="AO76" s="350"/>
      <c r="AP76" s="351"/>
      <c r="AS76" s="15"/>
    </row>
    <row r="77" spans="1:45" s="15" customFormat="1" ht="20.25" thickTop="1" thickBot="1" x14ac:dyDescent="0.35">
      <c r="R77" s="16"/>
      <c r="S77" s="16"/>
      <c r="T77" s="16"/>
      <c r="U77" s="16"/>
      <c r="V77" s="16"/>
      <c r="W77" s="16"/>
      <c r="X77" s="16"/>
    </row>
    <row r="78" spans="1:45" s="15" customFormat="1" ht="20.25" thickTop="1" thickBot="1" x14ac:dyDescent="0.35">
      <c r="A78" s="339" t="s">
        <v>45</v>
      </c>
      <c r="B78" s="340"/>
      <c r="C78" s="341"/>
      <c r="D78" s="339" t="s">
        <v>46</v>
      </c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1"/>
      <c r="R78" s="342" t="s">
        <v>76</v>
      </c>
      <c r="S78" s="343"/>
      <c r="T78" s="343"/>
      <c r="U78" s="343"/>
      <c r="V78" s="343"/>
      <c r="W78" s="343"/>
      <c r="X78" s="344"/>
      <c r="Y78" s="339" t="s">
        <v>47</v>
      </c>
      <c r="Z78" s="340"/>
      <c r="AA78" s="341"/>
      <c r="AB78" s="339" t="s">
        <v>48</v>
      </c>
      <c r="AC78" s="340"/>
      <c r="AD78" s="341"/>
      <c r="AE78" s="339" t="s">
        <v>49</v>
      </c>
      <c r="AF78" s="340"/>
      <c r="AG78" s="341"/>
      <c r="AH78" s="339" t="s">
        <v>50</v>
      </c>
      <c r="AI78" s="340"/>
      <c r="AJ78" s="341"/>
      <c r="AK78" s="339" t="s">
        <v>51</v>
      </c>
      <c r="AL78" s="340"/>
      <c r="AM78" s="341"/>
      <c r="AN78" s="339" t="s">
        <v>52</v>
      </c>
      <c r="AO78" s="340"/>
      <c r="AP78" s="341"/>
    </row>
    <row r="79" spans="1:45" s="27" customFormat="1" ht="48" thickTop="1" thickBot="1" x14ac:dyDescent="0.75">
      <c r="A79" s="327">
        <f>VLOOKUP(2,'Fase Grupos'!$AM$14:$AP$21,2,FALSE)</f>
        <v>0</v>
      </c>
      <c r="B79" s="328"/>
      <c r="C79" s="329"/>
      <c r="D79" s="330">
        <f>VLOOKUP(2,'Fase Grupos'!$AM$14:$AP$21,3,FALSE)</f>
        <v>0</v>
      </c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2"/>
      <c r="R79" s="333">
        <f>VLOOKUP(2,'Fase Grupos'!$AM$14:$AP$21,4,FALSE)</f>
        <v>0</v>
      </c>
      <c r="S79" s="334"/>
      <c r="T79" s="334"/>
      <c r="U79" s="334"/>
      <c r="V79" s="334"/>
      <c r="W79" s="334"/>
      <c r="X79" s="335"/>
      <c r="Y79" s="336"/>
      <c r="Z79" s="337"/>
      <c r="AA79" s="338"/>
      <c r="AB79" s="336"/>
      <c r="AC79" s="337"/>
      <c r="AD79" s="338"/>
      <c r="AE79" s="336"/>
      <c r="AF79" s="337"/>
      <c r="AG79" s="338"/>
      <c r="AH79" s="336"/>
      <c r="AI79" s="337"/>
      <c r="AJ79" s="338"/>
      <c r="AK79" s="336"/>
      <c r="AL79" s="337"/>
      <c r="AM79" s="338"/>
      <c r="AN79" s="336"/>
      <c r="AO79" s="337"/>
      <c r="AP79" s="338"/>
      <c r="AS79" s="28"/>
    </row>
    <row r="80" spans="1:45" s="27" customFormat="1" ht="48" customHeight="1" thickTop="1" thickBot="1" x14ac:dyDescent="0.75">
      <c r="A80" s="327">
        <f>VLOOKUP(3,'Fase Grupos'!$AM$14:$AP$21,2,FALSE)</f>
        <v>0</v>
      </c>
      <c r="B80" s="328"/>
      <c r="C80" s="329"/>
      <c r="D80" s="330">
        <f>VLOOKUP(3,'Fase Grupos'!$AM$14:$AP$21,3,FALSE)</f>
        <v>0</v>
      </c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2"/>
      <c r="R80" s="333">
        <f>VLOOKUP(3,'Fase Grupos'!$AM$14:$AP$21,4,FALSE)</f>
        <v>0</v>
      </c>
      <c r="S80" s="334"/>
      <c r="T80" s="334"/>
      <c r="U80" s="334"/>
      <c r="V80" s="334"/>
      <c r="W80" s="334"/>
      <c r="X80" s="335"/>
      <c r="Y80" s="336"/>
      <c r="Z80" s="337"/>
      <c r="AA80" s="338"/>
      <c r="AB80" s="336"/>
      <c r="AC80" s="337"/>
      <c r="AD80" s="338"/>
      <c r="AE80" s="336"/>
      <c r="AF80" s="337"/>
      <c r="AG80" s="338"/>
      <c r="AH80" s="336"/>
      <c r="AI80" s="337"/>
      <c r="AJ80" s="338"/>
      <c r="AK80" s="336"/>
      <c r="AL80" s="337"/>
      <c r="AM80" s="338"/>
      <c r="AN80" s="336"/>
      <c r="AO80" s="337"/>
      <c r="AP80" s="338"/>
    </row>
    <row r="81" spans="1:45" s="15" customFormat="1" ht="24" customHeight="1" thickTop="1" x14ac:dyDescent="0.3">
      <c r="R81" s="16"/>
      <c r="S81" s="16"/>
      <c r="T81" s="16"/>
      <c r="U81" s="16"/>
      <c r="V81" s="16"/>
      <c r="W81" s="16"/>
      <c r="X81" s="16"/>
    </row>
    <row r="82" spans="1:45" s="15" customFormat="1" ht="19.5" thickBot="1" x14ac:dyDescent="0.35">
      <c r="A82" s="325" t="s">
        <v>53</v>
      </c>
      <c r="B82" s="325"/>
      <c r="C82" s="325"/>
      <c r="D82" s="325"/>
      <c r="E82" s="325"/>
      <c r="F82" s="17"/>
      <c r="G82" s="17"/>
      <c r="H82" s="19"/>
      <c r="I82" s="19"/>
      <c r="J82" s="19"/>
      <c r="K82" s="19"/>
      <c r="L82" s="19"/>
      <c r="M82" s="19"/>
      <c r="N82" s="19"/>
      <c r="O82" s="19"/>
      <c r="P82" s="19"/>
      <c r="Q82" s="325" t="s">
        <v>54</v>
      </c>
      <c r="R82" s="325"/>
      <c r="S82" s="325"/>
      <c r="T82" s="325"/>
      <c r="U82" s="325"/>
      <c r="V82" s="325"/>
      <c r="W82" s="325"/>
      <c r="X82" s="20"/>
      <c r="Y82" s="17"/>
      <c r="Z82" s="17"/>
      <c r="AA82" s="17"/>
      <c r="AB82" s="19"/>
      <c r="AC82" s="19"/>
      <c r="AD82" s="19"/>
      <c r="AE82" s="19"/>
      <c r="AF82" s="19"/>
      <c r="AG82" s="19"/>
      <c r="AH82" s="19"/>
      <c r="AI82" s="325" t="s">
        <v>55</v>
      </c>
      <c r="AJ82" s="325"/>
      <c r="AK82" s="325"/>
      <c r="AL82" s="326"/>
      <c r="AM82" s="326"/>
      <c r="AN82" s="21" t="s">
        <v>44</v>
      </c>
      <c r="AO82" s="326"/>
      <c r="AP82" s="326"/>
    </row>
    <row r="83" spans="1:45" s="22" customFormat="1" ht="13.5" thickTop="1" x14ac:dyDescent="0.2">
      <c r="R83" s="23"/>
      <c r="S83" s="23"/>
      <c r="T83" s="23"/>
      <c r="U83" s="23"/>
      <c r="V83" s="23"/>
      <c r="W83" s="23"/>
      <c r="X83" s="23"/>
    </row>
    <row r="84" spans="1:45" s="22" customFormat="1" ht="12.75" x14ac:dyDescent="0.2">
      <c r="R84" s="23"/>
      <c r="S84" s="23"/>
      <c r="T84" s="23"/>
      <c r="U84" s="23"/>
      <c r="V84" s="23"/>
      <c r="W84" s="23"/>
      <c r="X84" s="23"/>
    </row>
    <row r="85" spans="1:45" s="24" customFormat="1" ht="36" x14ac:dyDescent="0.55000000000000004">
      <c r="A85" s="352" t="str">
        <f>SORTEIO!A7</f>
        <v>Campeonato Nacional</v>
      </c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</row>
    <row r="86" spans="1:45" s="25" customFormat="1" ht="26.25" x14ac:dyDescent="0.4">
      <c r="A86" s="353" t="s">
        <v>37</v>
      </c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</row>
    <row r="87" spans="1:45" s="15" customFormat="1" ht="19.5" thickBot="1" x14ac:dyDescent="0.35">
      <c r="A87" s="354" t="str">
        <f>CONCATENATE(SORTEIO!B12," ",SORTEIO!B14)</f>
        <v>Iniciado Masculino</v>
      </c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R87" s="16"/>
      <c r="S87" s="16"/>
      <c r="T87" s="16"/>
      <c r="U87" s="16"/>
      <c r="V87" s="16"/>
      <c r="W87" s="16"/>
      <c r="X87" s="16"/>
    </row>
    <row r="88" spans="1:45" s="25" customFormat="1" ht="27.75" thickTop="1" thickBot="1" x14ac:dyDescent="0.45">
      <c r="A88" s="355" t="s">
        <v>38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7"/>
    </row>
    <row r="89" spans="1:45" s="15" customFormat="1" ht="20.25" thickTop="1" thickBot="1" x14ac:dyDescent="0.35">
      <c r="A89" s="339" t="s">
        <v>39</v>
      </c>
      <c r="B89" s="340"/>
      <c r="C89" s="340"/>
      <c r="D89" s="340"/>
      <c r="E89" s="340"/>
      <c r="F89" s="340"/>
      <c r="G89" s="341"/>
      <c r="H89" s="339" t="s">
        <v>40</v>
      </c>
      <c r="I89" s="340"/>
      <c r="J89" s="340"/>
      <c r="K89" s="340"/>
      <c r="L89" s="340"/>
      <c r="M89" s="340"/>
      <c r="N89" s="341"/>
      <c r="O89" s="339" t="s">
        <v>41</v>
      </c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1"/>
      <c r="AC89" s="339" t="s">
        <v>42</v>
      </c>
      <c r="AD89" s="340"/>
      <c r="AE89" s="340"/>
      <c r="AF89" s="340"/>
      <c r="AG89" s="340"/>
      <c r="AH89" s="340"/>
      <c r="AI89" s="341"/>
      <c r="AJ89" s="339" t="s">
        <v>43</v>
      </c>
      <c r="AK89" s="340"/>
      <c r="AL89" s="340"/>
      <c r="AM89" s="340"/>
      <c r="AN89" s="340"/>
      <c r="AO89" s="340"/>
      <c r="AP89" s="341"/>
    </row>
    <row r="90" spans="1:45" s="26" customFormat="1" ht="63" thickTop="1" thickBot="1" x14ac:dyDescent="0.95">
      <c r="A90" s="345">
        <v>1</v>
      </c>
      <c r="B90" s="346"/>
      <c r="C90" s="346"/>
      <c r="D90" s="346"/>
      <c r="E90" s="346"/>
      <c r="F90" s="346"/>
      <c r="G90" s="347"/>
      <c r="H90" s="345" t="s">
        <v>3</v>
      </c>
      <c r="I90" s="346"/>
      <c r="J90" s="346"/>
      <c r="K90" s="346"/>
      <c r="L90" s="346"/>
      <c r="M90" s="346"/>
      <c r="N90" s="347"/>
      <c r="O90" s="348"/>
      <c r="P90" s="346"/>
      <c r="Q90" s="346"/>
      <c r="R90" s="346"/>
      <c r="S90" s="346"/>
      <c r="T90" s="346"/>
      <c r="U90" s="346"/>
      <c r="V90" s="346"/>
      <c r="W90" s="346"/>
      <c r="X90" s="18" t="s">
        <v>44</v>
      </c>
      <c r="Y90" s="346"/>
      <c r="Z90" s="346"/>
      <c r="AA90" s="346"/>
      <c r="AB90" s="347"/>
      <c r="AC90" s="349"/>
      <c r="AD90" s="350"/>
      <c r="AE90" s="350"/>
      <c r="AF90" s="350"/>
      <c r="AG90" s="350"/>
      <c r="AH90" s="350"/>
      <c r="AI90" s="351"/>
      <c r="AJ90" s="349"/>
      <c r="AK90" s="350"/>
      <c r="AL90" s="350"/>
      <c r="AM90" s="350"/>
      <c r="AN90" s="350"/>
      <c r="AO90" s="350"/>
      <c r="AP90" s="351"/>
      <c r="AS90" s="15"/>
    </row>
    <row r="91" spans="1:45" s="15" customFormat="1" ht="20.25" thickTop="1" thickBot="1" x14ac:dyDescent="0.35">
      <c r="R91" s="16"/>
      <c r="S91" s="16"/>
      <c r="T91" s="16"/>
      <c r="U91" s="16"/>
      <c r="V91" s="16"/>
      <c r="W91" s="16"/>
      <c r="X91" s="16"/>
    </row>
    <row r="92" spans="1:45" s="15" customFormat="1" ht="20.25" thickTop="1" thickBot="1" x14ac:dyDescent="0.35">
      <c r="A92" s="339" t="s">
        <v>45</v>
      </c>
      <c r="B92" s="340"/>
      <c r="C92" s="341"/>
      <c r="D92" s="339" t="s">
        <v>46</v>
      </c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1"/>
      <c r="R92" s="342" t="s">
        <v>76</v>
      </c>
      <c r="S92" s="343"/>
      <c r="T92" s="343"/>
      <c r="U92" s="343"/>
      <c r="V92" s="343"/>
      <c r="W92" s="343"/>
      <c r="X92" s="344"/>
      <c r="Y92" s="339" t="s">
        <v>47</v>
      </c>
      <c r="Z92" s="340"/>
      <c r="AA92" s="341"/>
      <c r="AB92" s="339" t="s">
        <v>48</v>
      </c>
      <c r="AC92" s="340"/>
      <c r="AD92" s="341"/>
      <c r="AE92" s="339" t="s">
        <v>49</v>
      </c>
      <c r="AF92" s="340"/>
      <c r="AG92" s="341"/>
      <c r="AH92" s="339" t="s">
        <v>50</v>
      </c>
      <c r="AI92" s="340"/>
      <c r="AJ92" s="341"/>
      <c r="AK92" s="339" t="s">
        <v>51</v>
      </c>
      <c r="AL92" s="340"/>
      <c r="AM92" s="341"/>
      <c r="AN92" s="339" t="s">
        <v>52</v>
      </c>
      <c r="AO92" s="340"/>
      <c r="AP92" s="341"/>
    </row>
    <row r="93" spans="1:45" s="27" customFormat="1" ht="48" thickTop="1" thickBot="1" x14ac:dyDescent="0.75">
      <c r="A93" s="327">
        <f>VLOOKUP(1,'Fase Grupos'!$AM$32:$AP$39,2,FALSE)</f>
        <v>0</v>
      </c>
      <c r="B93" s="328"/>
      <c r="C93" s="329"/>
      <c r="D93" s="330">
        <f>VLOOKUP(1,'Fase Grupos'!$AM$32:$AP$39,3,FALSE)</f>
        <v>0</v>
      </c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2"/>
      <c r="R93" s="333">
        <f>VLOOKUP(1,'Fase Grupos'!$AM$32:$AP$39,4,FALSE)</f>
        <v>0</v>
      </c>
      <c r="S93" s="334"/>
      <c r="T93" s="334"/>
      <c r="U93" s="334"/>
      <c r="V93" s="334"/>
      <c r="W93" s="334"/>
      <c r="X93" s="335"/>
      <c r="Y93" s="336"/>
      <c r="Z93" s="337"/>
      <c r="AA93" s="338"/>
      <c r="AB93" s="336"/>
      <c r="AC93" s="337"/>
      <c r="AD93" s="338"/>
      <c r="AE93" s="336"/>
      <c r="AF93" s="337"/>
      <c r="AG93" s="338"/>
      <c r="AH93" s="336"/>
      <c r="AI93" s="337"/>
      <c r="AJ93" s="338"/>
      <c r="AK93" s="336"/>
      <c r="AL93" s="337"/>
      <c r="AM93" s="338"/>
      <c r="AN93" s="336"/>
      <c r="AO93" s="337"/>
      <c r="AP93" s="338"/>
      <c r="AS93" s="28"/>
    </row>
    <row r="94" spans="1:45" s="27" customFormat="1" ht="48" customHeight="1" thickTop="1" thickBot="1" x14ac:dyDescent="0.75">
      <c r="A94" s="327">
        <f>VLOOKUP(3,'Fase Grupos'!$AM$32:$AP$39,2,FALSE)</f>
        <v>0</v>
      </c>
      <c r="B94" s="328"/>
      <c r="C94" s="329"/>
      <c r="D94" s="330">
        <f>VLOOKUP(3,'Fase Grupos'!$AM$32:$AP$39,3,FALSE)</f>
        <v>0</v>
      </c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2"/>
      <c r="R94" s="333">
        <f>VLOOKUP(3,'Fase Grupos'!$AM$32:$AP$39,4,FALSE)</f>
        <v>0</v>
      </c>
      <c r="S94" s="334"/>
      <c r="T94" s="334"/>
      <c r="U94" s="334"/>
      <c r="V94" s="334"/>
      <c r="W94" s="334"/>
      <c r="X94" s="335"/>
      <c r="Y94" s="336"/>
      <c r="Z94" s="337"/>
      <c r="AA94" s="338"/>
      <c r="AB94" s="336"/>
      <c r="AC94" s="337"/>
      <c r="AD94" s="338"/>
      <c r="AE94" s="336"/>
      <c r="AF94" s="337"/>
      <c r="AG94" s="338"/>
      <c r="AH94" s="336"/>
      <c r="AI94" s="337"/>
      <c r="AJ94" s="338"/>
      <c r="AK94" s="336"/>
      <c r="AL94" s="337"/>
      <c r="AM94" s="338"/>
      <c r="AN94" s="336"/>
      <c r="AO94" s="337"/>
      <c r="AP94" s="338"/>
    </row>
    <row r="95" spans="1:45" s="15" customFormat="1" ht="24" customHeight="1" thickTop="1" x14ac:dyDescent="0.3">
      <c r="R95" s="16"/>
      <c r="S95" s="16"/>
      <c r="T95" s="16"/>
      <c r="U95" s="16"/>
      <c r="V95" s="16"/>
      <c r="W95" s="16"/>
      <c r="X95" s="16"/>
    </row>
    <row r="96" spans="1:45" s="15" customFormat="1" ht="19.5" thickBot="1" x14ac:dyDescent="0.35">
      <c r="A96" s="325" t="s">
        <v>53</v>
      </c>
      <c r="B96" s="325"/>
      <c r="C96" s="325"/>
      <c r="D96" s="325"/>
      <c r="E96" s="325"/>
      <c r="F96" s="29"/>
      <c r="G96" s="29"/>
      <c r="H96" s="19"/>
      <c r="I96" s="19"/>
      <c r="J96" s="19"/>
      <c r="K96" s="19"/>
      <c r="L96" s="19"/>
      <c r="M96" s="19"/>
      <c r="N96" s="19"/>
      <c r="O96" s="19"/>
      <c r="P96" s="19"/>
      <c r="Q96" s="325" t="s">
        <v>54</v>
      </c>
      <c r="R96" s="325"/>
      <c r="S96" s="325"/>
      <c r="T96" s="325"/>
      <c r="U96" s="325"/>
      <c r="V96" s="325"/>
      <c r="W96" s="325"/>
      <c r="X96" s="20"/>
      <c r="Y96" s="29"/>
      <c r="Z96" s="29"/>
      <c r="AA96" s="29"/>
      <c r="AB96" s="19"/>
      <c r="AC96" s="19"/>
      <c r="AD96" s="19"/>
      <c r="AE96" s="19"/>
      <c r="AF96" s="19"/>
      <c r="AG96" s="19"/>
      <c r="AH96" s="19"/>
      <c r="AI96" s="325" t="s">
        <v>55</v>
      </c>
      <c r="AJ96" s="325"/>
      <c r="AK96" s="325"/>
      <c r="AL96" s="326"/>
      <c r="AM96" s="326"/>
      <c r="AN96" s="21" t="s">
        <v>44</v>
      </c>
      <c r="AO96" s="326"/>
      <c r="AP96" s="326"/>
    </row>
    <row r="97" spans="1:45" s="22" customFormat="1" ht="13.5" thickTop="1" x14ac:dyDescent="0.2">
      <c r="R97" s="23"/>
      <c r="S97" s="23"/>
      <c r="T97" s="23"/>
      <c r="U97" s="23"/>
      <c r="V97" s="23"/>
      <c r="W97" s="23"/>
      <c r="X97" s="23"/>
    </row>
    <row r="98" spans="1:45" s="22" customFormat="1" ht="12.75" x14ac:dyDescent="0.2">
      <c r="R98" s="23"/>
      <c r="S98" s="23"/>
      <c r="T98" s="23"/>
      <c r="U98" s="23"/>
      <c r="V98" s="23"/>
      <c r="W98" s="23"/>
      <c r="X98" s="23"/>
    </row>
    <row r="99" spans="1:45" s="24" customFormat="1" ht="36" x14ac:dyDescent="0.55000000000000004">
      <c r="A99" s="352" t="str">
        <f>SORTEIO!A7</f>
        <v>Campeonato Nacional</v>
      </c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</row>
    <row r="100" spans="1:45" s="25" customFormat="1" ht="26.25" x14ac:dyDescent="0.4">
      <c r="A100" s="353" t="s">
        <v>37</v>
      </c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</row>
    <row r="101" spans="1:45" s="15" customFormat="1" ht="19.5" thickBot="1" x14ac:dyDescent="0.35">
      <c r="A101" s="354" t="str">
        <f>CONCATENATE(SORTEIO!B12," ",SORTEIO!B14)</f>
        <v>Iniciado Masculino</v>
      </c>
      <c r="B101" s="354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R101" s="16"/>
      <c r="S101" s="16"/>
      <c r="T101" s="16"/>
      <c r="U101" s="16"/>
      <c r="V101" s="16"/>
      <c r="W101" s="16"/>
      <c r="X101" s="16"/>
    </row>
    <row r="102" spans="1:45" s="25" customFormat="1" ht="27.75" thickTop="1" thickBot="1" x14ac:dyDescent="0.45">
      <c r="A102" s="355" t="s">
        <v>38</v>
      </c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7"/>
    </row>
    <row r="103" spans="1:45" s="15" customFormat="1" ht="20.25" thickTop="1" thickBot="1" x14ac:dyDescent="0.35">
      <c r="A103" s="339" t="s">
        <v>39</v>
      </c>
      <c r="B103" s="340"/>
      <c r="C103" s="340"/>
      <c r="D103" s="340"/>
      <c r="E103" s="340"/>
      <c r="F103" s="340"/>
      <c r="G103" s="341"/>
      <c r="H103" s="339" t="s">
        <v>40</v>
      </c>
      <c r="I103" s="340"/>
      <c r="J103" s="340"/>
      <c r="K103" s="340"/>
      <c r="L103" s="340"/>
      <c r="M103" s="340"/>
      <c r="N103" s="341"/>
      <c r="O103" s="339" t="s">
        <v>41</v>
      </c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1"/>
      <c r="AC103" s="339" t="s">
        <v>42</v>
      </c>
      <c r="AD103" s="340"/>
      <c r="AE103" s="340"/>
      <c r="AF103" s="340"/>
      <c r="AG103" s="340"/>
      <c r="AH103" s="340"/>
      <c r="AI103" s="341"/>
      <c r="AJ103" s="339" t="s">
        <v>43</v>
      </c>
      <c r="AK103" s="340"/>
      <c r="AL103" s="340"/>
      <c r="AM103" s="340"/>
      <c r="AN103" s="340"/>
      <c r="AO103" s="340"/>
      <c r="AP103" s="341"/>
    </row>
    <row r="104" spans="1:45" s="26" customFormat="1" ht="63" thickTop="1" thickBot="1" x14ac:dyDescent="0.95">
      <c r="A104" s="345">
        <v>2</v>
      </c>
      <c r="B104" s="346"/>
      <c r="C104" s="346"/>
      <c r="D104" s="346"/>
      <c r="E104" s="346"/>
      <c r="F104" s="346"/>
      <c r="G104" s="347"/>
      <c r="H104" s="345" t="s">
        <v>3</v>
      </c>
      <c r="I104" s="346"/>
      <c r="J104" s="346"/>
      <c r="K104" s="346"/>
      <c r="L104" s="346"/>
      <c r="M104" s="346"/>
      <c r="N104" s="347"/>
      <c r="O104" s="348"/>
      <c r="P104" s="346"/>
      <c r="Q104" s="346"/>
      <c r="R104" s="346"/>
      <c r="S104" s="346"/>
      <c r="T104" s="346"/>
      <c r="U104" s="346"/>
      <c r="V104" s="346"/>
      <c r="W104" s="346"/>
      <c r="X104" s="18" t="s">
        <v>44</v>
      </c>
      <c r="Y104" s="346"/>
      <c r="Z104" s="346"/>
      <c r="AA104" s="346"/>
      <c r="AB104" s="347"/>
      <c r="AC104" s="349"/>
      <c r="AD104" s="350"/>
      <c r="AE104" s="350"/>
      <c r="AF104" s="350"/>
      <c r="AG104" s="350"/>
      <c r="AH104" s="350"/>
      <c r="AI104" s="351"/>
      <c r="AJ104" s="349"/>
      <c r="AK104" s="350"/>
      <c r="AL104" s="350"/>
      <c r="AM104" s="350"/>
      <c r="AN104" s="350"/>
      <c r="AO104" s="350"/>
      <c r="AP104" s="351"/>
      <c r="AS104" s="15"/>
    </row>
    <row r="105" spans="1:45" s="15" customFormat="1" ht="20.25" thickTop="1" thickBot="1" x14ac:dyDescent="0.35">
      <c r="R105" s="16"/>
      <c r="S105" s="16"/>
      <c r="T105" s="16"/>
      <c r="U105" s="16"/>
      <c r="V105" s="16"/>
      <c r="W105" s="16"/>
      <c r="X105" s="16"/>
    </row>
    <row r="106" spans="1:45" s="15" customFormat="1" ht="20.25" thickTop="1" thickBot="1" x14ac:dyDescent="0.35">
      <c r="A106" s="339" t="s">
        <v>45</v>
      </c>
      <c r="B106" s="340"/>
      <c r="C106" s="341"/>
      <c r="D106" s="339" t="s">
        <v>46</v>
      </c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1"/>
      <c r="R106" s="342" t="s">
        <v>76</v>
      </c>
      <c r="S106" s="343"/>
      <c r="T106" s="343"/>
      <c r="U106" s="343"/>
      <c r="V106" s="343"/>
      <c r="W106" s="343"/>
      <c r="X106" s="344"/>
      <c r="Y106" s="339" t="s">
        <v>47</v>
      </c>
      <c r="Z106" s="340"/>
      <c r="AA106" s="341"/>
      <c r="AB106" s="339" t="s">
        <v>48</v>
      </c>
      <c r="AC106" s="340"/>
      <c r="AD106" s="341"/>
      <c r="AE106" s="339" t="s">
        <v>49</v>
      </c>
      <c r="AF106" s="340"/>
      <c r="AG106" s="341"/>
      <c r="AH106" s="339" t="s">
        <v>50</v>
      </c>
      <c r="AI106" s="340"/>
      <c r="AJ106" s="341"/>
      <c r="AK106" s="339" t="s">
        <v>51</v>
      </c>
      <c r="AL106" s="340"/>
      <c r="AM106" s="341"/>
      <c r="AN106" s="339" t="s">
        <v>52</v>
      </c>
      <c r="AO106" s="340"/>
      <c r="AP106" s="341"/>
    </row>
    <row r="107" spans="1:45" s="27" customFormat="1" ht="48" thickTop="1" thickBot="1" x14ac:dyDescent="0.75">
      <c r="A107" s="327">
        <f>VLOOKUP(2,'Fase Grupos'!$AM$32:$AP$39,2,FALSE)</f>
        <v>0</v>
      </c>
      <c r="B107" s="328"/>
      <c r="C107" s="329"/>
      <c r="D107" s="330">
        <f>VLOOKUP(2,'Fase Grupos'!$AM$32:$AP$39,3,FALSE)</f>
        <v>0</v>
      </c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2"/>
      <c r="R107" s="333">
        <f>VLOOKUP(2,'Fase Grupos'!$AM$32:$AP$39,4,FALSE)</f>
        <v>0</v>
      </c>
      <c r="S107" s="334"/>
      <c r="T107" s="334"/>
      <c r="U107" s="334"/>
      <c r="V107" s="334"/>
      <c r="W107" s="334"/>
      <c r="X107" s="335"/>
      <c r="Y107" s="336"/>
      <c r="Z107" s="337"/>
      <c r="AA107" s="338"/>
      <c r="AB107" s="336"/>
      <c r="AC107" s="337"/>
      <c r="AD107" s="338"/>
      <c r="AE107" s="336"/>
      <c r="AF107" s="337"/>
      <c r="AG107" s="338"/>
      <c r="AH107" s="336"/>
      <c r="AI107" s="337"/>
      <c r="AJ107" s="338"/>
      <c r="AK107" s="336"/>
      <c r="AL107" s="337"/>
      <c r="AM107" s="338"/>
      <c r="AN107" s="336"/>
      <c r="AO107" s="337"/>
      <c r="AP107" s="338"/>
      <c r="AS107" s="28"/>
    </row>
    <row r="108" spans="1:45" s="27" customFormat="1" ht="48" customHeight="1" thickTop="1" thickBot="1" x14ac:dyDescent="0.75">
      <c r="A108" s="327">
        <f>VLOOKUP(4,'Fase Grupos'!$AM$32:$AP$39,2,FALSE)</f>
        <v>0</v>
      </c>
      <c r="B108" s="328"/>
      <c r="C108" s="329"/>
      <c r="D108" s="330">
        <f>VLOOKUP(4,'Fase Grupos'!$AM$32:$AP$39,3,FALSE)</f>
        <v>0</v>
      </c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2"/>
      <c r="R108" s="333">
        <f>VLOOKUP(4,'Fase Grupos'!$AM$32:$AP$39,4,FALSE)</f>
        <v>0</v>
      </c>
      <c r="S108" s="334"/>
      <c r="T108" s="334"/>
      <c r="U108" s="334"/>
      <c r="V108" s="334"/>
      <c r="W108" s="334"/>
      <c r="X108" s="335"/>
      <c r="Y108" s="336"/>
      <c r="Z108" s="337"/>
      <c r="AA108" s="338"/>
      <c r="AB108" s="336"/>
      <c r="AC108" s="337"/>
      <c r="AD108" s="338"/>
      <c r="AE108" s="336"/>
      <c r="AF108" s="337"/>
      <c r="AG108" s="338"/>
      <c r="AH108" s="336"/>
      <c r="AI108" s="337"/>
      <c r="AJ108" s="338"/>
      <c r="AK108" s="336"/>
      <c r="AL108" s="337"/>
      <c r="AM108" s="338"/>
      <c r="AN108" s="336"/>
      <c r="AO108" s="337"/>
      <c r="AP108" s="338"/>
    </row>
    <row r="109" spans="1:45" s="15" customFormat="1" ht="24" customHeight="1" thickTop="1" x14ac:dyDescent="0.3">
      <c r="R109" s="16"/>
      <c r="S109" s="16"/>
      <c r="T109" s="16"/>
      <c r="U109" s="16"/>
      <c r="V109" s="16"/>
      <c r="W109" s="16"/>
      <c r="X109" s="16"/>
    </row>
    <row r="110" spans="1:45" s="15" customFormat="1" ht="19.5" thickBot="1" x14ac:dyDescent="0.35">
      <c r="A110" s="325" t="s">
        <v>53</v>
      </c>
      <c r="B110" s="325"/>
      <c r="C110" s="325"/>
      <c r="D110" s="325"/>
      <c r="E110" s="325"/>
      <c r="F110" s="29"/>
      <c r="G110" s="29"/>
      <c r="H110" s="19"/>
      <c r="I110" s="19"/>
      <c r="J110" s="19"/>
      <c r="K110" s="19"/>
      <c r="L110" s="19"/>
      <c r="M110" s="19"/>
      <c r="N110" s="19"/>
      <c r="O110" s="19"/>
      <c r="P110" s="19"/>
      <c r="Q110" s="325" t="s">
        <v>54</v>
      </c>
      <c r="R110" s="325"/>
      <c r="S110" s="325"/>
      <c r="T110" s="325"/>
      <c r="U110" s="325"/>
      <c r="V110" s="325"/>
      <c r="W110" s="325"/>
      <c r="X110" s="20"/>
      <c r="Y110" s="29"/>
      <c r="Z110" s="29"/>
      <c r="AA110" s="29"/>
      <c r="AB110" s="19"/>
      <c r="AC110" s="19"/>
      <c r="AD110" s="19"/>
      <c r="AE110" s="19"/>
      <c r="AF110" s="19"/>
      <c r="AG110" s="19"/>
      <c r="AH110" s="19"/>
      <c r="AI110" s="325" t="s">
        <v>55</v>
      </c>
      <c r="AJ110" s="325"/>
      <c r="AK110" s="325"/>
      <c r="AL110" s="326"/>
      <c r="AM110" s="326"/>
      <c r="AN110" s="21" t="s">
        <v>44</v>
      </c>
      <c r="AO110" s="326"/>
      <c r="AP110" s="326"/>
    </row>
    <row r="111" spans="1:45" s="22" customFormat="1" ht="13.5" thickTop="1" x14ac:dyDescent="0.2">
      <c r="R111" s="23"/>
      <c r="S111" s="23"/>
      <c r="T111" s="23"/>
      <c r="U111" s="23"/>
      <c r="V111" s="23"/>
      <c r="W111" s="23"/>
      <c r="X111" s="23"/>
    </row>
    <row r="112" spans="1:45" s="22" customFormat="1" ht="12.75" x14ac:dyDescent="0.2">
      <c r="R112" s="23"/>
      <c r="S112" s="23"/>
      <c r="T112" s="23"/>
      <c r="U112" s="23"/>
      <c r="V112" s="23"/>
      <c r="W112" s="23"/>
      <c r="X112" s="23"/>
    </row>
    <row r="113" spans="1:45" s="24" customFormat="1" ht="36" x14ac:dyDescent="0.55000000000000004">
      <c r="A113" s="352" t="str">
        <f>SORTEIO!A7</f>
        <v>Campeonato Nacional</v>
      </c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</row>
    <row r="114" spans="1:45" s="25" customFormat="1" ht="26.25" x14ac:dyDescent="0.4">
      <c r="A114" s="353" t="s">
        <v>37</v>
      </c>
      <c r="B114" s="353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</row>
    <row r="115" spans="1:45" s="15" customFormat="1" ht="19.5" thickBot="1" x14ac:dyDescent="0.35">
      <c r="A115" s="354" t="str">
        <f>CONCATENATE(SORTEIO!B12," ",SORTEIO!B14)</f>
        <v>Iniciado Masculino</v>
      </c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R115" s="16"/>
      <c r="S115" s="16"/>
      <c r="T115" s="16"/>
      <c r="U115" s="16"/>
      <c r="V115" s="16"/>
      <c r="W115" s="16"/>
      <c r="X115" s="16"/>
    </row>
    <row r="116" spans="1:45" s="25" customFormat="1" ht="27.75" thickTop="1" thickBot="1" x14ac:dyDescent="0.45">
      <c r="A116" s="355" t="s">
        <v>38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7"/>
    </row>
    <row r="117" spans="1:45" s="15" customFormat="1" ht="20.25" thickTop="1" thickBot="1" x14ac:dyDescent="0.35">
      <c r="A117" s="339" t="s">
        <v>39</v>
      </c>
      <c r="B117" s="340"/>
      <c r="C117" s="340"/>
      <c r="D117" s="340"/>
      <c r="E117" s="340"/>
      <c r="F117" s="340"/>
      <c r="G117" s="341"/>
      <c r="H117" s="339" t="s">
        <v>40</v>
      </c>
      <c r="I117" s="340"/>
      <c r="J117" s="340"/>
      <c r="K117" s="340"/>
      <c r="L117" s="340"/>
      <c r="M117" s="340"/>
      <c r="N117" s="341"/>
      <c r="O117" s="339" t="s">
        <v>41</v>
      </c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1"/>
      <c r="AC117" s="339" t="s">
        <v>42</v>
      </c>
      <c r="AD117" s="340"/>
      <c r="AE117" s="340"/>
      <c r="AF117" s="340"/>
      <c r="AG117" s="340"/>
      <c r="AH117" s="340"/>
      <c r="AI117" s="341"/>
      <c r="AJ117" s="339" t="s">
        <v>43</v>
      </c>
      <c r="AK117" s="340"/>
      <c r="AL117" s="340"/>
      <c r="AM117" s="340"/>
      <c r="AN117" s="340"/>
      <c r="AO117" s="340"/>
      <c r="AP117" s="341"/>
    </row>
    <row r="118" spans="1:45" s="26" customFormat="1" ht="63" thickTop="1" thickBot="1" x14ac:dyDescent="0.95">
      <c r="A118" s="345">
        <v>3</v>
      </c>
      <c r="B118" s="346"/>
      <c r="C118" s="346"/>
      <c r="D118" s="346"/>
      <c r="E118" s="346"/>
      <c r="F118" s="346"/>
      <c r="G118" s="347"/>
      <c r="H118" s="345" t="s">
        <v>3</v>
      </c>
      <c r="I118" s="346"/>
      <c r="J118" s="346"/>
      <c r="K118" s="346"/>
      <c r="L118" s="346"/>
      <c r="M118" s="346"/>
      <c r="N118" s="347"/>
      <c r="O118" s="348"/>
      <c r="P118" s="346"/>
      <c r="Q118" s="346"/>
      <c r="R118" s="346"/>
      <c r="S118" s="346"/>
      <c r="T118" s="346"/>
      <c r="U118" s="346"/>
      <c r="V118" s="346"/>
      <c r="W118" s="346"/>
      <c r="X118" s="18" t="s">
        <v>44</v>
      </c>
      <c r="Y118" s="346"/>
      <c r="Z118" s="346"/>
      <c r="AA118" s="346"/>
      <c r="AB118" s="347"/>
      <c r="AC118" s="349"/>
      <c r="AD118" s="350"/>
      <c r="AE118" s="350"/>
      <c r="AF118" s="350"/>
      <c r="AG118" s="350"/>
      <c r="AH118" s="350"/>
      <c r="AI118" s="351"/>
      <c r="AJ118" s="349"/>
      <c r="AK118" s="350"/>
      <c r="AL118" s="350"/>
      <c r="AM118" s="350"/>
      <c r="AN118" s="350"/>
      <c r="AO118" s="350"/>
      <c r="AP118" s="351"/>
      <c r="AS118" s="15"/>
    </row>
    <row r="119" spans="1:45" s="15" customFormat="1" ht="20.25" thickTop="1" thickBot="1" x14ac:dyDescent="0.35">
      <c r="R119" s="16"/>
      <c r="S119" s="16"/>
      <c r="T119" s="16"/>
      <c r="U119" s="16"/>
      <c r="V119" s="16"/>
      <c r="W119" s="16"/>
      <c r="X119" s="16"/>
    </row>
    <row r="120" spans="1:45" s="15" customFormat="1" ht="20.25" thickTop="1" thickBot="1" x14ac:dyDescent="0.35">
      <c r="A120" s="339" t="s">
        <v>45</v>
      </c>
      <c r="B120" s="340"/>
      <c r="C120" s="341"/>
      <c r="D120" s="339" t="s">
        <v>46</v>
      </c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1"/>
      <c r="R120" s="342" t="s">
        <v>76</v>
      </c>
      <c r="S120" s="343"/>
      <c r="T120" s="343"/>
      <c r="U120" s="343"/>
      <c r="V120" s="343"/>
      <c r="W120" s="343"/>
      <c r="X120" s="344"/>
      <c r="Y120" s="339" t="s">
        <v>47</v>
      </c>
      <c r="Z120" s="340"/>
      <c r="AA120" s="341"/>
      <c r="AB120" s="339" t="s">
        <v>48</v>
      </c>
      <c r="AC120" s="340"/>
      <c r="AD120" s="341"/>
      <c r="AE120" s="339" t="s">
        <v>49</v>
      </c>
      <c r="AF120" s="340"/>
      <c r="AG120" s="341"/>
      <c r="AH120" s="339" t="s">
        <v>50</v>
      </c>
      <c r="AI120" s="340"/>
      <c r="AJ120" s="341"/>
      <c r="AK120" s="339" t="s">
        <v>51</v>
      </c>
      <c r="AL120" s="340"/>
      <c r="AM120" s="341"/>
      <c r="AN120" s="339" t="s">
        <v>52</v>
      </c>
      <c r="AO120" s="340"/>
      <c r="AP120" s="341"/>
    </row>
    <row r="121" spans="1:45" s="27" customFormat="1" ht="48" thickTop="1" thickBot="1" x14ac:dyDescent="0.75">
      <c r="A121" s="327">
        <f>VLOOKUP(1,'Fase Grupos'!$AM$32:$AP$39,2,FALSE)</f>
        <v>0</v>
      </c>
      <c r="B121" s="328"/>
      <c r="C121" s="329"/>
      <c r="D121" s="330">
        <f>VLOOKUP(1,'Fase Grupos'!$AM$32:$AP$39,3,FALSE)</f>
        <v>0</v>
      </c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2"/>
      <c r="R121" s="333">
        <f>VLOOKUP(1,'Fase Grupos'!$AM$32:$AP$39,4,FALSE)</f>
        <v>0</v>
      </c>
      <c r="S121" s="334"/>
      <c r="T121" s="334"/>
      <c r="U121" s="334"/>
      <c r="V121" s="334"/>
      <c r="W121" s="334"/>
      <c r="X121" s="335"/>
      <c r="Y121" s="336"/>
      <c r="Z121" s="337"/>
      <c r="AA121" s="338"/>
      <c r="AB121" s="336"/>
      <c r="AC121" s="337"/>
      <c r="AD121" s="338"/>
      <c r="AE121" s="336"/>
      <c r="AF121" s="337"/>
      <c r="AG121" s="338"/>
      <c r="AH121" s="336"/>
      <c r="AI121" s="337"/>
      <c r="AJ121" s="338"/>
      <c r="AK121" s="336"/>
      <c r="AL121" s="337"/>
      <c r="AM121" s="338"/>
      <c r="AN121" s="336"/>
      <c r="AO121" s="337"/>
      <c r="AP121" s="338"/>
      <c r="AS121" s="28"/>
    </row>
    <row r="122" spans="1:45" s="27" customFormat="1" ht="48" customHeight="1" thickTop="1" thickBot="1" x14ac:dyDescent="0.75">
      <c r="A122" s="327">
        <f>VLOOKUP(2,'Fase Grupos'!$AM$32:$AP$39,2,FALSE)</f>
        <v>0</v>
      </c>
      <c r="B122" s="328"/>
      <c r="C122" s="329"/>
      <c r="D122" s="330">
        <f>VLOOKUP(2,'Fase Grupos'!$AM$32:$AP$39,3,FALSE)</f>
        <v>0</v>
      </c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2"/>
      <c r="R122" s="333">
        <f>VLOOKUP(2,'Fase Grupos'!$AM$32:$AP$39,4,FALSE)</f>
        <v>0</v>
      </c>
      <c r="S122" s="334"/>
      <c r="T122" s="334"/>
      <c r="U122" s="334"/>
      <c r="V122" s="334"/>
      <c r="W122" s="334"/>
      <c r="X122" s="335"/>
      <c r="Y122" s="336"/>
      <c r="Z122" s="337"/>
      <c r="AA122" s="338"/>
      <c r="AB122" s="336"/>
      <c r="AC122" s="337"/>
      <c r="AD122" s="338"/>
      <c r="AE122" s="336"/>
      <c r="AF122" s="337"/>
      <c r="AG122" s="338"/>
      <c r="AH122" s="336"/>
      <c r="AI122" s="337"/>
      <c r="AJ122" s="338"/>
      <c r="AK122" s="336"/>
      <c r="AL122" s="337"/>
      <c r="AM122" s="338"/>
      <c r="AN122" s="336"/>
      <c r="AO122" s="337"/>
      <c r="AP122" s="338"/>
    </row>
    <row r="123" spans="1:45" s="15" customFormat="1" ht="24" customHeight="1" thickTop="1" x14ac:dyDescent="0.3">
      <c r="R123" s="16"/>
      <c r="S123" s="16"/>
      <c r="T123" s="16"/>
      <c r="U123" s="16"/>
      <c r="V123" s="16"/>
      <c r="W123" s="16"/>
      <c r="X123" s="16"/>
    </row>
    <row r="124" spans="1:45" s="15" customFormat="1" ht="19.5" thickBot="1" x14ac:dyDescent="0.35">
      <c r="A124" s="325" t="s">
        <v>53</v>
      </c>
      <c r="B124" s="325"/>
      <c r="C124" s="325"/>
      <c r="D124" s="325"/>
      <c r="E124" s="325"/>
      <c r="F124" s="29"/>
      <c r="G124" s="29"/>
      <c r="H124" s="19"/>
      <c r="I124" s="19"/>
      <c r="J124" s="19"/>
      <c r="K124" s="19"/>
      <c r="L124" s="19"/>
      <c r="M124" s="19"/>
      <c r="N124" s="19"/>
      <c r="O124" s="19"/>
      <c r="P124" s="19"/>
      <c r="Q124" s="325" t="s">
        <v>54</v>
      </c>
      <c r="R124" s="325"/>
      <c r="S124" s="325"/>
      <c r="T124" s="325"/>
      <c r="U124" s="325"/>
      <c r="V124" s="325"/>
      <c r="W124" s="325"/>
      <c r="X124" s="20"/>
      <c r="Y124" s="29"/>
      <c r="Z124" s="29"/>
      <c r="AA124" s="29"/>
      <c r="AB124" s="19"/>
      <c r="AC124" s="19"/>
      <c r="AD124" s="19"/>
      <c r="AE124" s="19"/>
      <c r="AF124" s="19"/>
      <c r="AG124" s="19"/>
      <c r="AH124" s="19"/>
      <c r="AI124" s="325" t="s">
        <v>55</v>
      </c>
      <c r="AJ124" s="325"/>
      <c r="AK124" s="325"/>
      <c r="AL124" s="326"/>
      <c r="AM124" s="326"/>
      <c r="AN124" s="21" t="s">
        <v>44</v>
      </c>
      <c r="AO124" s="326"/>
      <c r="AP124" s="326"/>
    </row>
    <row r="125" spans="1:45" s="22" customFormat="1" ht="13.5" thickTop="1" x14ac:dyDescent="0.2">
      <c r="R125" s="23"/>
      <c r="S125" s="23"/>
      <c r="T125" s="23"/>
      <c r="U125" s="23"/>
      <c r="V125" s="23"/>
      <c r="W125" s="23"/>
      <c r="X125" s="23"/>
    </row>
    <row r="126" spans="1:45" s="22" customFormat="1" ht="12.75" x14ac:dyDescent="0.2">
      <c r="R126" s="23"/>
      <c r="S126" s="23"/>
      <c r="T126" s="23"/>
      <c r="U126" s="23"/>
      <c r="V126" s="23"/>
      <c r="W126" s="23"/>
      <c r="X126" s="23"/>
    </row>
    <row r="127" spans="1:45" s="24" customFormat="1" ht="36" x14ac:dyDescent="0.55000000000000004">
      <c r="A127" s="352" t="str">
        <f>SORTEIO!A7</f>
        <v>Campeonato Nacional</v>
      </c>
      <c r="B127" s="352"/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</row>
    <row r="128" spans="1:45" s="25" customFormat="1" ht="26.25" x14ac:dyDescent="0.4">
      <c r="A128" s="353" t="s">
        <v>37</v>
      </c>
      <c r="B128" s="353"/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</row>
    <row r="129" spans="1:45" s="15" customFormat="1" ht="19.5" thickBot="1" x14ac:dyDescent="0.35">
      <c r="A129" s="354" t="str">
        <f>CONCATENATE(SORTEIO!B12," ",SORTEIO!B14)</f>
        <v>Iniciado Masculino</v>
      </c>
      <c r="B129" s="354"/>
      <c r="C129" s="354"/>
      <c r="D129" s="354"/>
      <c r="E129" s="354"/>
      <c r="F129" s="354"/>
      <c r="G129" s="354"/>
      <c r="H129" s="354"/>
      <c r="I129" s="354"/>
      <c r="J129" s="354"/>
      <c r="K129" s="354"/>
      <c r="L129" s="354"/>
      <c r="M129" s="354"/>
      <c r="N129" s="354"/>
      <c r="R129" s="16"/>
      <c r="S129" s="16"/>
      <c r="T129" s="16"/>
      <c r="U129" s="16"/>
      <c r="V129" s="16"/>
      <c r="W129" s="16"/>
      <c r="X129" s="16"/>
    </row>
    <row r="130" spans="1:45" s="25" customFormat="1" ht="27.75" thickTop="1" thickBot="1" x14ac:dyDescent="0.45">
      <c r="A130" s="355" t="s">
        <v>38</v>
      </c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7"/>
    </row>
    <row r="131" spans="1:45" s="15" customFormat="1" ht="20.25" thickTop="1" thickBot="1" x14ac:dyDescent="0.35">
      <c r="A131" s="339" t="s">
        <v>39</v>
      </c>
      <c r="B131" s="340"/>
      <c r="C131" s="340"/>
      <c r="D131" s="340"/>
      <c r="E131" s="340"/>
      <c r="F131" s="340"/>
      <c r="G131" s="341"/>
      <c r="H131" s="339" t="s">
        <v>40</v>
      </c>
      <c r="I131" s="340"/>
      <c r="J131" s="340"/>
      <c r="K131" s="340"/>
      <c r="L131" s="340"/>
      <c r="M131" s="340"/>
      <c r="N131" s="341"/>
      <c r="O131" s="339" t="s">
        <v>41</v>
      </c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1"/>
      <c r="AC131" s="339" t="s">
        <v>42</v>
      </c>
      <c r="AD131" s="340"/>
      <c r="AE131" s="340"/>
      <c r="AF131" s="340"/>
      <c r="AG131" s="340"/>
      <c r="AH131" s="340"/>
      <c r="AI131" s="341"/>
      <c r="AJ131" s="339" t="s">
        <v>43</v>
      </c>
      <c r="AK131" s="340"/>
      <c r="AL131" s="340"/>
      <c r="AM131" s="340"/>
      <c r="AN131" s="340"/>
      <c r="AO131" s="340"/>
      <c r="AP131" s="341"/>
    </row>
    <row r="132" spans="1:45" s="26" customFormat="1" ht="63" thickTop="1" thickBot="1" x14ac:dyDescent="0.95">
      <c r="A132" s="345">
        <v>4</v>
      </c>
      <c r="B132" s="346"/>
      <c r="C132" s="346"/>
      <c r="D132" s="346"/>
      <c r="E132" s="346"/>
      <c r="F132" s="346"/>
      <c r="G132" s="347"/>
      <c r="H132" s="345" t="s">
        <v>3</v>
      </c>
      <c r="I132" s="346"/>
      <c r="J132" s="346"/>
      <c r="K132" s="346"/>
      <c r="L132" s="346"/>
      <c r="M132" s="346"/>
      <c r="N132" s="347"/>
      <c r="O132" s="348"/>
      <c r="P132" s="346"/>
      <c r="Q132" s="346"/>
      <c r="R132" s="346"/>
      <c r="S132" s="346"/>
      <c r="T132" s="346"/>
      <c r="U132" s="346"/>
      <c r="V132" s="346"/>
      <c r="W132" s="346"/>
      <c r="X132" s="18" t="s">
        <v>44</v>
      </c>
      <c r="Y132" s="346"/>
      <c r="Z132" s="346"/>
      <c r="AA132" s="346"/>
      <c r="AB132" s="347"/>
      <c r="AC132" s="349"/>
      <c r="AD132" s="350"/>
      <c r="AE132" s="350"/>
      <c r="AF132" s="350"/>
      <c r="AG132" s="350"/>
      <c r="AH132" s="350"/>
      <c r="AI132" s="351"/>
      <c r="AJ132" s="349"/>
      <c r="AK132" s="350"/>
      <c r="AL132" s="350"/>
      <c r="AM132" s="350"/>
      <c r="AN132" s="350"/>
      <c r="AO132" s="350"/>
      <c r="AP132" s="351"/>
      <c r="AS132" s="15"/>
    </row>
    <row r="133" spans="1:45" s="15" customFormat="1" ht="20.25" thickTop="1" thickBot="1" x14ac:dyDescent="0.35">
      <c r="R133" s="16"/>
      <c r="S133" s="16"/>
      <c r="T133" s="16"/>
      <c r="U133" s="16"/>
      <c r="V133" s="16"/>
      <c r="W133" s="16"/>
      <c r="X133" s="16"/>
    </row>
    <row r="134" spans="1:45" s="15" customFormat="1" ht="20.25" thickTop="1" thickBot="1" x14ac:dyDescent="0.35">
      <c r="A134" s="339" t="s">
        <v>45</v>
      </c>
      <c r="B134" s="340"/>
      <c r="C134" s="341"/>
      <c r="D134" s="339" t="s">
        <v>46</v>
      </c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1"/>
      <c r="R134" s="342" t="s">
        <v>76</v>
      </c>
      <c r="S134" s="343"/>
      <c r="T134" s="343"/>
      <c r="U134" s="343"/>
      <c r="V134" s="343"/>
      <c r="W134" s="343"/>
      <c r="X134" s="344"/>
      <c r="Y134" s="339" t="s">
        <v>47</v>
      </c>
      <c r="Z134" s="340"/>
      <c r="AA134" s="341"/>
      <c r="AB134" s="339" t="s">
        <v>48</v>
      </c>
      <c r="AC134" s="340"/>
      <c r="AD134" s="341"/>
      <c r="AE134" s="339" t="s">
        <v>49</v>
      </c>
      <c r="AF134" s="340"/>
      <c r="AG134" s="341"/>
      <c r="AH134" s="339" t="s">
        <v>50</v>
      </c>
      <c r="AI134" s="340"/>
      <c r="AJ134" s="341"/>
      <c r="AK134" s="339" t="s">
        <v>51</v>
      </c>
      <c r="AL134" s="340"/>
      <c r="AM134" s="341"/>
      <c r="AN134" s="339" t="s">
        <v>52</v>
      </c>
      <c r="AO134" s="340"/>
      <c r="AP134" s="341"/>
    </row>
    <row r="135" spans="1:45" s="27" customFormat="1" ht="48" thickTop="1" thickBot="1" x14ac:dyDescent="0.75">
      <c r="A135" s="327">
        <f>VLOOKUP(3,'Fase Grupos'!$AM$32:$AP$39,2,FALSE)</f>
        <v>0</v>
      </c>
      <c r="B135" s="328"/>
      <c r="C135" s="329"/>
      <c r="D135" s="330">
        <f>VLOOKUP(3,'Fase Grupos'!$AM$32:$AP$39,3,FALSE)</f>
        <v>0</v>
      </c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2"/>
      <c r="R135" s="333">
        <f>VLOOKUP(3,'Fase Grupos'!$AM$32:$AP$39,4,FALSE)</f>
        <v>0</v>
      </c>
      <c r="S135" s="334"/>
      <c r="T135" s="334"/>
      <c r="U135" s="334"/>
      <c r="V135" s="334"/>
      <c r="W135" s="334"/>
      <c r="X135" s="335"/>
      <c r="Y135" s="336"/>
      <c r="Z135" s="337"/>
      <c r="AA135" s="338"/>
      <c r="AB135" s="336"/>
      <c r="AC135" s="337"/>
      <c r="AD135" s="338"/>
      <c r="AE135" s="336"/>
      <c r="AF135" s="337"/>
      <c r="AG135" s="338"/>
      <c r="AH135" s="336"/>
      <c r="AI135" s="337"/>
      <c r="AJ135" s="338"/>
      <c r="AK135" s="336"/>
      <c r="AL135" s="337"/>
      <c r="AM135" s="338"/>
      <c r="AN135" s="336"/>
      <c r="AO135" s="337"/>
      <c r="AP135" s="338"/>
      <c r="AS135" s="28"/>
    </row>
    <row r="136" spans="1:45" s="27" customFormat="1" ht="48" customHeight="1" thickTop="1" thickBot="1" x14ac:dyDescent="0.75">
      <c r="A136" s="327">
        <f>VLOOKUP(4,'Fase Grupos'!$AM$32:$AP$39,2,FALSE)</f>
        <v>0</v>
      </c>
      <c r="B136" s="328"/>
      <c r="C136" s="329"/>
      <c r="D136" s="330">
        <f>VLOOKUP(4,'Fase Grupos'!$AM$32:$AP$39,3,FALSE)</f>
        <v>0</v>
      </c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2"/>
      <c r="R136" s="333">
        <f>VLOOKUP(4,'Fase Grupos'!$AM$32:$AP$39,4,FALSE)</f>
        <v>0</v>
      </c>
      <c r="S136" s="334"/>
      <c r="T136" s="334"/>
      <c r="U136" s="334"/>
      <c r="V136" s="334"/>
      <c r="W136" s="334"/>
      <c r="X136" s="335"/>
      <c r="Y136" s="336"/>
      <c r="Z136" s="337"/>
      <c r="AA136" s="338"/>
      <c r="AB136" s="336"/>
      <c r="AC136" s="337"/>
      <c r="AD136" s="338"/>
      <c r="AE136" s="336"/>
      <c r="AF136" s="337"/>
      <c r="AG136" s="338"/>
      <c r="AH136" s="336"/>
      <c r="AI136" s="337"/>
      <c r="AJ136" s="338"/>
      <c r="AK136" s="336"/>
      <c r="AL136" s="337"/>
      <c r="AM136" s="338"/>
      <c r="AN136" s="336"/>
      <c r="AO136" s="337"/>
      <c r="AP136" s="338"/>
    </row>
    <row r="137" spans="1:45" s="15" customFormat="1" ht="24" customHeight="1" thickTop="1" x14ac:dyDescent="0.3">
      <c r="R137" s="16"/>
      <c r="S137" s="16"/>
      <c r="T137" s="16"/>
      <c r="U137" s="16"/>
      <c r="V137" s="16"/>
      <c r="W137" s="16"/>
      <c r="X137" s="16"/>
    </row>
    <row r="138" spans="1:45" s="15" customFormat="1" ht="19.5" thickBot="1" x14ac:dyDescent="0.35">
      <c r="A138" s="325" t="s">
        <v>53</v>
      </c>
      <c r="B138" s="325"/>
      <c r="C138" s="325"/>
      <c r="D138" s="325"/>
      <c r="E138" s="325"/>
      <c r="F138" s="29"/>
      <c r="G138" s="29"/>
      <c r="H138" s="19"/>
      <c r="I138" s="19"/>
      <c r="J138" s="19"/>
      <c r="K138" s="19"/>
      <c r="L138" s="19"/>
      <c r="M138" s="19"/>
      <c r="N138" s="19"/>
      <c r="O138" s="19"/>
      <c r="P138" s="19"/>
      <c r="Q138" s="325" t="s">
        <v>54</v>
      </c>
      <c r="R138" s="325"/>
      <c r="S138" s="325"/>
      <c r="T138" s="325"/>
      <c r="U138" s="325"/>
      <c r="V138" s="325"/>
      <c r="W138" s="325"/>
      <c r="X138" s="20"/>
      <c r="Y138" s="29"/>
      <c r="Z138" s="29"/>
      <c r="AA138" s="29"/>
      <c r="AB138" s="19"/>
      <c r="AC138" s="19"/>
      <c r="AD138" s="19"/>
      <c r="AE138" s="19"/>
      <c r="AF138" s="19"/>
      <c r="AG138" s="19"/>
      <c r="AH138" s="19"/>
      <c r="AI138" s="325" t="s">
        <v>55</v>
      </c>
      <c r="AJ138" s="325"/>
      <c r="AK138" s="325"/>
      <c r="AL138" s="326"/>
      <c r="AM138" s="326"/>
      <c r="AN138" s="21" t="s">
        <v>44</v>
      </c>
      <c r="AO138" s="326"/>
      <c r="AP138" s="326"/>
    </row>
    <row r="139" spans="1:45" s="22" customFormat="1" ht="13.5" thickTop="1" x14ac:dyDescent="0.2">
      <c r="R139" s="23"/>
      <c r="S139" s="23"/>
      <c r="T139" s="23"/>
      <c r="U139" s="23"/>
      <c r="V139" s="23"/>
      <c r="W139" s="23"/>
      <c r="X139" s="23"/>
    </row>
    <row r="140" spans="1:45" s="22" customFormat="1" ht="12.75" x14ac:dyDescent="0.2">
      <c r="R140" s="23"/>
      <c r="S140" s="23"/>
      <c r="T140" s="23"/>
      <c r="U140" s="23"/>
      <c r="V140" s="23"/>
      <c r="W140" s="23"/>
      <c r="X140" s="23"/>
    </row>
    <row r="141" spans="1:45" s="24" customFormat="1" ht="36" x14ac:dyDescent="0.55000000000000004">
      <c r="A141" s="352" t="str">
        <f>SORTEIO!A7</f>
        <v>Campeonato Nacional</v>
      </c>
      <c r="B141" s="352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</row>
    <row r="142" spans="1:45" s="25" customFormat="1" ht="26.25" x14ac:dyDescent="0.4">
      <c r="A142" s="353" t="s">
        <v>37</v>
      </c>
      <c r="B142" s="353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353"/>
      <c r="AI142" s="353"/>
      <c r="AJ142" s="353"/>
      <c r="AK142" s="353"/>
      <c r="AL142" s="353"/>
      <c r="AM142" s="353"/>
      <c r="AN142" s="353"/>
      <c r="AO142" s="353"/>
      <c r="AP142" s="353"/>
    </row>
    <row r="143" spans="1:45" s="15" customFormat="1" ht="19.5" thickBot="1" x14ac:dyDescent="0.35">
      <c r="A143" s="354" t="str">
        <f>CONCATENATE(SORTEIO!B12," ",SORTEIO!B14)</f>
        <v>Iniciado Masculino</v>
      </c>
      <c r="B143" s="354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R143" s="16"/>
      <c r="S143" s="16"/>
      <c r="T143" s="16"/>
      <c r="U143" s="16"/>
      <c r="V143" s="16"/>
      <c r="W143" s="16"/>
      <c r="X143" s="16"/>
    </row>
    <row r="144" spans="1:45" s="25" customFormat="1" ht="27.75" thickTop="1" thickBot="1" x14ac:dyDescent="0.45">
      <c r="A144" s="355" t="s">
        <v>38</v>
      </c>
      <c r="B144" s="356"/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7"/>
    </row>
    <row r="145" spans="1:45" s="15" customFormat="1" ht="20.25" thickTop="1" thickBot="1" x14ac:dyDescent="0.35">
      <c r="A145" s="339" t="s">
        <v>39</v>
      </c>
      <c r="B145" s="340"/>
      <c r="C145" s="340"/>
      <c r="D145" s="340"/>
      <c r="E145" s="340"/>
      <c r="F145" s="340"/>
      <c r="G145" s="341"/>
      <c r="H145" s="339" t="s">
        <v>40</v>
      </c>
      <c r="I145" s="340"/>
      <c r="J145" s="340"/>
      <c r="K145" s="340"/>
      <c r="L145" s="340"/>
      <c r="M145" s="340"/>
      <c r="N145" s="341"/>
      <c r="O145" s="339" t="s">
        <v>41</v>
      </c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1"/>
      <c r="AC145" s="339" t="s">
        <v>42</v>
      </c>
      <c r="AD145" s="340"/>
      <c r="AE145" s="340"/>
      <c r="AF145" s="340"/>
      <c r="AG145" s="340"/>
      <c r="AH145" s="340"/>
      <c r="AI145" s="341"/>
      <c r="AJ145" s="339" t="s">
        <v>43</v>
      </c>
      <c r="AK145" s="340"/>
      <c r="AL145" s="340"/>
      <c r="AM145" s="340"/>
      <c r="AN145" s="340"/>
      <c r="AO145" s="340"/>
      <c r="AP145" s="341"/>
    </row>
    <row r="146" spans="1:45" s="26" customFormat="1" ht="63" thickTop="1" thickBot="1" x14ac:dyDescent="0.95">
      <c r="A146" s="345">
        <v>5</v>
      </c>
      <c r="B146" s="346"/>
      <c r="C146" s="346"/>
      <c r="D146" s="346"/>
      <c r="E146" s="346"/>
      <c r="F146" s="346"/>
      <c r="G146" s="347"/>
      <c r="H146" s="345" t="s">
        <v>3</v>
      </c>
      <c r="I146" s="346"/>
      <c r="J146" s="346"/>
      <c r="K146" s="346"/>
      <c r="L146" s="346"/>
      <c r="M146" s="346"/>
      <c r="N146" s="347"/>
      <c r="O146" s="348"/>
      <c r="P146" s="346"/>
      <c r="Q146" s="346"/>
      <c r="R146" s="346"/>
      <c r="S146" s="346"/>
      <c r="T146" s="346"/>
      <c r="U146" s="346"/>
      <c r="V146" s="346"/>
      <c r="W146" s="346"/>
      <c r="X146" s="18" t="s">
        <v>44</v>
      </c>
      <c r="Y146" s="346"/>
      <c r="Z146" s="346"/>
      <c r="AA146" s="346"/>
      <c r="AB146" s="347"/>
      <c r="AC146" s="349"/>
      <c r="AD146" s="350"/>
      <c r="AE146" s="350"/>
      <c r="AF146" s="350"/>
      <c r="AG146" s="350"/>
      <c r="AH146" s="350"/>
      <c r="AI146" s="351"/>
      <c r="AJ146" s="349"/>
      <c r="AK146" s="350"/>
      <c r="AL146" s="350"/>
      <c r="AM146" s="350"/>
      <c r="AN146" s="350"/>
      <c r="AO146" s="350"/>
      <c r="AP146" s="351"/>
      <c r="AS146" s="15"/>
    </row>
    <row r="147" spans="1:45" s="15" customFormat="1" ht="20.25" thickTop="1" thickBot="1" x14ac:dyDescent="0.35">
      <c r="R147" s="16"/>
      <c r="S147" s="16"/>
      <c r="T147" s="16"/>
      <c r="U147" s="16"/>
      <c r="V147" s="16"/>
      <c r="W147" s="16"/>
      <c r="X147" s="16"/>
    </row>
    <row r="148" spans="1:45" s="15" customFormat="1" ht="20.25" thickTop="1" thickBot="1" x14ac:dyDescent="0.35">
      <c r="A148" s="339" t="s">
        <v>45</v>
      </c>
      <c r="B148" s="340"/>
      <c r="C148" s="341"/>
      <c r="D148" s="339" t="s">
        <v>46</v>
      </c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1"/>
      <c r="R148" s="342" t="s">
        <v>76</v>
      </c>
      <c r="S148" s="343"/>
      <c r="T148" s="343"/>
      <c r="U148" s="343"/>
      <c r="V148" s="343"/>
      <c r="W148" s="343"/>
      <c r="X148" s="344"/>
      <c r="Y148" s="339" t="s">
        <v>47</v>
      </c>
      <c r="Z148" s="340"/>
      <c r="AA148" s="341"/>
      <c r="AB148" s="339" t="s">
        <v>48</v>
      </c>
      <c r="AC148" s="340"/>
      <c r="AD148" s="341"/>
      <c r="AE148" s="339" t="s">
        <v>49</v>
      </c>
      <c r="AF148" s="340"/>
      <c r="AG148" s="341"/>
      <c r="AH148" s="339" t="s">
        <v>50</v>
      </c>
      <c r="AI148" s="340"/>
      <c r="AJ148" s="341"/>
      <c r="AK148" s="339" t="s">
        <v>51</v>
      </c>
      <c r="AL148" s="340"/>
      <c r="AM148" s="341"/>
      <c r="AN148" s="339" t="s">
        <v>52</v>
      </c>
      <c r="AO148" s="340"/>
      <c r="AP148" s="341"/>
    </row>
    <row r="149" spans="1:45" s="27" customFormat="1" ht="48" thickTop="1" thickBot="1" x14ac:dyDescent="0.75">
      <c r="A149" s="327">
        <f>VLOOKUP(1,'Fase Grupos'!$AM$32:$AP$39,2,FALSE)</f>
        <v>0</v>
      </c>
      <c r="B149" s="328"/>
      <c r="C149" s="329"/>
      <c r="D149" s="330">
        <f>VLOOKUP(1,'Fase Grupos'!$AM$32:$AP$39,3,FALSE)</f>
        <v>0</v>
      </c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2"/>
      <c r="R149" s="333">
        <f>VLOOKUP(1,'Fase Grupos'!$AM$32:$AP$39,4,FALSE)</f>
        <v>0</v>
      </c>
      <c r="S149" s="334"/>
      <c r="T149" s="334"/>
      <c r="U149" s="334"/>
      <c r="V149" s="334"/>
      <c r="W149" s="334"/>
      <c r="X149" s="335"/>
      <c r="Y149" s="336"/>
      <c r="Z149" s="337"/>
      <c r="AA149" s="338"/>
      <c r="AB149" s="336"/>
      <c r="AC149" s="337"/>
      <c r="AD149" s="338"/>
      <c r="AE149" s="336"/>
      <c r="AF149" s="337"/>
      <c r="AG149" s="338"/>
      <c r="AH149" s="336"/>
      <c r="AI149" s="337"/>
      <c r="AJ149" s="338"/>
      <c r="AK149" s="336"/>
      <c r="AL149" s="337"/>
      <c r="AM149" s="338"/>
      <c r="AN149" s="336"/>
      <c r="AO149" s="337"/>
      <c r="AP149" s="338"/>
      <c r="AS149" s="28"/>
    </row>
    <row r="150" spans="1:45" s="27" customFormat="1" ht="48" customHeight="1" thickTop="1" thickBot="1" x14ac:dyDescent="0.75">
      <c r="A150" s="327">
        <f>VLOOKUP(4,'Fase Grupos'!$AM$32:$AP$39,2,FALSE)</f>
        <v>0</v>
      </c>
      <c r="B150" s="328"/>
      <c r="C150" s="329"/>
      <c r="D150" s="330">
        <f>VLOOKUP(4,'Fase Grupos'!$AM$32:$AP$39,3,FALSE)</f>
        <v>0</v>
      </c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2"/>
      <c r="R150" s="333">
        <f>VLOOKUP(4,'Fase Grupos'!$AM$32:$AP$39,4,FALSE)</f>
        <v>0</v>
      </c>
      <c r="S150" s="334"/>
      <c r="T150" s="334"/>
      <c r="U150" s="334"/>
      <c r="V150" s="334"/>
      <c r="W150" s="334"/>
      <c r="X150" s="335"/>
      <c r="Y150" s="336"/>
      <c r="Z150" s="337"/>
      <c r="AA150" s="338"/>
      <c r="AB150" s="336"/>
      <c r="AC150" s="337"/>
      <c r="AD150" s="338"/>
      <c r="AE150" s="336"/>
      <c r="AF150" s="337"/>
      <c r="AG150" s="338"/>
      <c r="AH150" s="336"/>
      <c r="AI150" s="337"/>
      <c r="AJ150" s="338"/>
      <c r="AK150" s="336"/>
      <c r="AL150" s="337"/>
      <c r="AM150" s="338"/>
      <c r="AN150" s="336"/>
      <c r="AO150" s="337"/>
      <c r="AP150" s="338"/>
    </row>
    <row r="151" spans="1:45" s="15" customFormat="1" ht="24" customHeight="1" thickTop="1" x14ac:dyDescent="0.3">
      <c r="R151" s="16"/>
      <c r="S151" s="16"/>
      <c r="T151" s="16"/>
      <c r="U151" s="16"/>
      <c r="V151" s="16"/>
      <c r="W151" s="16"/>
      <c r="X151" s="16"/>
    </row>
    <row r="152" spans="1:45" s="15" customFormat="1" ht="19.5" thickBot="1" x14ac:dyDescent="0.35">
      <c r="A152" s="325" t="s">
        <v>53</v>
      </c>
      <c r="B152" s="325"/>
      <c r="C152" s="325"/>
      <c r="D152" s="325"/>
      <c r="E152" s="325"/>
      <c r="F152" s="29"/>
      <c r="G152" s="29"/>
      <c r="H152" s="19"/>
      <c r="I152" s="19"/>
      <c r="J152" s="19"/>
      <c r="K152" s="19"/>
      <c r="L152" s="19"/>
      <c r="M152" s="19"/>
      <c r="N152" s="19"/>
      <c r="O152" s="19"/>
      <c r="P152" s="19"/>
      <c r="Q152" s="325" t="s">
        <v>54</v>
      </c>
      <c r="R152" s="325"/>
      <c r="S152" s="325"/>
      <c r="T152" s="325"/>
      <c r="U152" s="325"/>
      <c r="V152" s="325"/>
      <c r="W152" s="325"/>
      <c r="X152" s="20"/>
      <c r="Y152" s="29"/>
      <c r="Z152" s="29"/>
      <c r="AA152" s="29"/>
      <c r="AB152" s="19"/>
      <c r="AC152" s="19"/>
      <c r="AD152" s="19"/>
      <c r="AE152" s="19"/>
      <c r="AF152" s="19"/>
      <c r="AG152" s="19"/>
      <c r="AH152" s="19"/>
      <c r="AI152" s="325" t="s">
        <v>55</v>
      </c>
      <c r="AJ152" s="325"/>
      <c r="AK152" s="325"/>
      <c r="AL152" s="326"/>
      <c r="AM152" s="326"/>
      <c r="AN152" s="21" t="s">
        <v>44</v>
      </c>
      <c r="AO152" s="326"/>
      <c r="AP152" s="326"/>
    </row>
    <row r="153" spans="1:45" s="22" customFormat="1" ht="13.5" thickTop="1" x14ac:dyDescent="0.2">
      <c r="R153" s="23"/>
      <c r="S153" s="23"/>
      <c r="T153" s="23"/>
      <c r="U153" s="23"/>
      <c r="V153" s="23"/>
      <c r="W153" s="23"/>
      <c r="X153" s="23"/>
    </row>
    <row r="154" spans="1:45" s="22" customFormat="1" ht="12.75" x14ac:dyDescent="0.2">
      <c r="R154" s="23"/>
      <c r="S154" s="23"/>
      <c r="T154" s="23"/>
      <c r="U154" s="23"/>
      <c r="V154" s="23"/>
      <c r="W154" s="23"/>
      <c r="X154" s="23"/>
    </row>
    <row r="155" spans="1:45" s="24" customFormat="1" ht="36" x14ac:dyDescent="0.55000000000000004">
      <c r="A155" s="352" t="str">
        <f>SORTEIO!A7</f>
        <v>Campeonato Nacional</v>
      </c>
      <c r="B155" s="352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</row>
    <row r="156" spans="1:45" s="25" customFormat="1" ht="26.25" x14ac:dyDescent="0.4">
      <c r="A156" s="353" t="s">
        <v>37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Y156" s="353"/>
      <c r="Z156" s="353"/>
      <c r="AA156" s="353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</row>
    <row r="157" spans="1:45" s="15" customFormat="1" ht="19.5" thickBot="1" x14ac:dyDescent="0.35">
      <c r="A157" s="354" t="str">
        <f>CONCATENATE(SORTEIO!B12," ",SORTEIO!B14)</f>
        <v>Iniciado Masculino</v>
      </c>
      <c r="B157" s="354"/>
      <c r="C157" s="354"/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  <c r="N157" s="354"/>
      <c r="R157" s="16"/>
      <c r="S157" s="16"/>
      <c r="T157" s="16"/>
      <c r="U157" s="16"/>
      <c r="V157" s="16"/>
      <c r="W157" s="16"/>
      <c r="X157" s="16"/>
    </row>
    <row r="158" spans="1:45" s="25" customFormat="1" ht="27.75" thickTop="1" thickBot="1" x14ac:dyDescent="0.45">
      <c r="A158" s="355" t="s">
        <v>38</v>
      </c>
      <c r="B158" s="356"/>
      <c r="C158" s="356"/>
      <c r="D158" s="356"/>
      <c r="E158" s="356"/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7"/>
    </row>
    <row r="159" spans="1:45" s="15" customFormat="1" ht="20.25" thickTop="1" thickBot="1" x14ac:dyDescent="0.35">
      <c r="A159" s="339" t="s">
        <v>39</v>
      </c>
      <c r="B159" s="340"/>
      <c r="C159" s="340"/>
      <c r="D159" s="340"/>
      <c r="E159" s="340"/>
      <c r="F159" s="340"/>
      <c r="G159" s="341"/>
      <c r="H159" s="339" t="s">
        <v>40</v>
      </c>
      <c r="I159" s="340"/>
      <c r="J159" s="340"/>
      <c r="K159" s="340"/>
      <c r="L159" s="340"/>
      <c r="M159" s="340"/>
      <c r="N159" s="341"/>
      <c r="O159" s="339" t="s">
        <v>41</v>
      </c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  <c r="AB159" s="341"/>
      <c r="AC159" s="339" t="s">
        <v>42</v>
      </c>
      <c r="AD159" s="340"/>
      <c r="AE159" s="340"/>
      <c r="AF159" s="340"/>
      <c r="AG159" s="340"/>
      <c r="AH159" s="340"/>
      <c r="AI159" s="341"/>
      <c r="AJ159" s="339" t="s">
        <v>43</v>
      </c>
      <c r="AK159" s="340"/>
      <c r="AL159" s="340"/>
      <c r="AM159" s="340"/>
      <c r="AN159" s="340"/>
      <c r="AO159" s="340"/>
      <c r="AP159" s="341"/>
    </row>
    <row r="160" spans="1:45" s="26" customFormat="1" ht="63" thickTop="1" thickBot="1" x14ac:dyDescent="0.95">
      <c r="A160" s="345">
        <v>6</v>
      </c>
      <c r="B160" s="346"/>
      <c r="C160" s="346"/>
      <c r="D160" s="346"/>
      <c r="E160" s="346"/>
      <c r="F160" s="346"/>
      <c r="G160" s="347"/>
      <c r="H160" s="345" t="s">
        <v>3</v>
      </c>
      <c r="I160" s="346"/>
      <c r="J160" s="346"/>
      <c r="K160" s="346"/>
      <c r="L160" s="346"/>
      <c r="M160" s="346"/>
      <c r="N160" s="347"/>
      <c r="O160" s="348"/>
      <c r="P160" s="346"/>
      <c r="Q160" s="346"/>
      <c r="R160" s="346"/>
      <c r="S160" s="346"/>
      <c r="T160" s="346"/>
      <c r="U160" s="346"/>
      <c r="V160" s="346"/>
      <c r="W160" s="346"/>
      <c r="X160" s="18" t="s">
        <v>44</v>
      </c>
      <c r="Y160" s="346"/>
      <c r="Z160" s="346"/>
      <c r="AA160" s="346"/>
      <c r="AB160" s="347"/>
      <c r="AC160" s="349"/>
      <c r="AD160" s="350"/>
      <c r="AE160" s="350"/>
      <c r="AF160" s="350"/>
      <c r="AG160" s="350"/>
      <c r="AH160" s="350"/>
      <c r="AI160" s="351"/>
      <c r="AJ160" s="349"/>
      <c r="AK160" s="350"/>
      <c r="AL160" s="350"/>
      <c r="AM160" s="350"/>
      <c r="AN160" s="350"/>
      <c r="AO160" s="350"/>
      <c r="AP160" s="351"/>
      <c r="AS160" s="15"/>
    </row>
    <row r="161" spans="1:45" s="15" customFormat="1" ht="20.25" thickTop="1" thickBot="1" x14ac:dyDescent="0.35">
      <c r="R161" s="16"/>
      <c r="S161" s="16"/>
      <c r="T161" s="16"/>
      <c r="U161" s="16"/>
      <c r="V161" s="16"/>
      <c r="W161" s="16"/>
      <c r="X161" s="16"/>
    </row>
    <row r="162" spans="1:45" s="15" customFormat="1" ht="20.25" thickTop="1" thickBot="1" x14ac:dyDescent="0.35">
      <c r="A162" s="339" t="s">
        <v>45</v>
      </c>
      <c r="B162" s="340"/>
      <c r="C162" s="341"/>
      <c r="D162" s="339" t="s">
        <v>46</v>
      </c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1"/>
      <c r="R162" s="342" t="s">
        <v>76</v>
      </c>
      <c r="S162" s="343"/>
      <c r="T162" s="343"/>
      <c r="U162" s="343"/>
      <c r="V162" s="343"/>
      <c r="W162" s="343"/>
      <c r="X162" s="344"/>
      <c r="Y162" s="339" t="s">
        <v>47</v>
      </c>
      <c r="Z162" s="340"/>
      <c r="AA162" s="341"/>
      <c r="AB162" s="339" t="s">
        <v>48</v>
      </c>
      <c r="AC162" s="340"/>
      <c r="AD162" s="341"/>
      <c r="AE162" s="339" t="s">
        <v>49</v>
      </c>
      <c r="AF162" s="340"/>
      <c r="AG162" s="341"/>
      <c r="AH162" s="339" t="s">
        <v>50</v>
      </c>
      <c r="AI162" s="340"/>
      <c r="AJ162" s="341"/>
      <c r="AK162" s="339" t="s">
        <v>51</v>
      </c>
      <c r="AL162" s="340"/>
      <c r="AM162" s="341"/>
      <c r="AN162" s="339" t="s">
        <v>52</v>
      </c>
      <c r="AO162" s="340"/>
      <c r="AP162" s="341"/>
    </row>
    <row r="163" spans="1:45" s="27" customFormat="1" ht="48" thickTop="1" thickBot="1" x14ac:dyDescent="0.75">
      <c r="A163" s="327">
        <f>VLOOKUP(2,'Fase Grupos'!$AM$32:$AP$39,2,FALSE)</f>
        <v>0</v>
      </c>
      <c r="B163" s="328"/>
      <c r="C163" s="329"/>
      <c r="D163" s="330">
        <f>VLOOKUP(2,'Fase Grupos'!$AM$32:$AP$39,3,FALSE)</f>
        <v>0</v>
      </c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2"/>
      <c r="R163" s="333">
        <f>VLOOKUP(2,'Fase Grupos'!$AM$32:$AP$39,4,FALSE)</f>
        <v>0</v>
      </c>
      <c r="S163" s="334"/>
      <c r="T163" s="334"/>
      <c r="U163" s="334"/>
      <c r="V163" s="334"/>
      <c r="W163" s="334"/>
      <c r="X163" s="335"/>
      <c r="Y163" s="336"/>
      <c r="Z163" s="337"/>
      <c r="AA163" s="338"/>
      <c r="AB163" s="336"/>
      <c r="AC163" s="337"/>
      <c r="AD163" s="338"/>
      <c r="AE163" s="336"/>
      <c r="AF163" s="337"/>
      <c r="AG163" s="338"/>
      <c r="AH163" s="336"/>
      <c r="AI163" s="337"/>
      <c r="AJ163" s="338"/>
      <c r="AK163" s="336"/>
      <c r="AL163" s="337"/>
      <c r="AM163" s="338"/>
      <c r="AN163" s="336"/>
      <c r="AO163" s="337"/>
      <c r="AP163" s="338"/>
      <c r="AS163" s="28"/>
    </row>
    <row r="164" spans="1:45" s="27" customFormat="1" ht="48" customHeight="1" thickTop="1" thickBot="1" x14ac:dyDescent="0.75">
      <c r="A164" s="327">
        <f>VLOOKUP(3,'Fase Grupos'!$AM$32:$AP$39,2,FALSE)</f>
        <v>0</v>
      </c>
      <c r="B164" s="328"/>
      <c r="C164" s="329"/>
      <c r="D164" s="330">
        <f>VLOOKUP(3,'Fase Grupos'!$AM$32:$AP$39,3,FALSE)</f>
        <v>0</v>
      </c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2"/>
      <c r="R164" s="333">
        <f>VLOOKUP(3,'Fase Grupos'!$AM$32:$AP$39,4,FALSE)</f>
        <v>0</v>
      </c>
      <c r="S164" s="334"/>
      <c r="T164" s="334"/>
      <c r="U164" s="334"/>
      <c r="V164" s="334"/>
      <c r="W164" s="334"/>
      <c r="X164" s="335"/>
      <c r="Y164" s="336"/>
      <c r="Z164" s="337"/>
      <c r="AA164" s="338"/>
      <c r="AB164" s="336"/>
      <c r="AC164" s="337"/>
      <c r="AD164" s="338"/>
      <c r="AE164" s="336"/>
      <c r="AF164" s="337"/>
      <c r="AG164" s="338"/>
      <c r="AH164" s="336"/>
      <c r="AI164" s="337"/>
      <c r="AJ164" s="338"/>
      <c r="AK164" s="336"/>
      <c r="AL164" s="337"/>
      <c r="AM164" s="338"/>
      <c r="AN164" s="336"/>
      <c r="AO164" s="337"/>
      <c r="AP164" s="338"/>
    </row>
    <row r="165" spans="1:45" s="15" customFormat="1" ht="24" customHeight="1" thickTop="1" x14ac:dyDescent="0.3">
      <c r="R165" s="16"/>
      <c r="S165" s="16"/>
      <c r="T165" s="16"/>
      <c r="U165" s="16"/>
      <c r="V165" s="16"/>
      <c r="W165" s="16"/>
      <c r="X165" s="16"/>
    </row>
    <row r="166" spans="1:45" s="15" customFormat="1" ht="19.5" thickBot="1" x14ac:dyDescent="0.35">
      <c r="A166" s="325" t="s">
        <v>53</v>
      </c>
      <c r="B166" s="325"/>
      <c r="C166" s="325"/>
      <c r="D166" s="325"/>
      <c r="E166" s="325"/>
      <c r="F166" s="29"/>
      <c r="G166" s="29"/>
      <c r="H166" s="19"/>
      <c r="I166" s="19"/>
      <c r="J166" s="19"/>
      <c r="K166" s="19"/>
      <c r="L166" s="19"/>
      <c r="M166" s="19"/>
      <c r="N166" s="19"/>
      <c r="O166" s="19"/>
      <c r="P166" s="19"/>
      <c r="Q166" s="325" t="s">
        <v>54</v>
      </c>
      <c r="R166" s="325"/>
      <c r="S166" s="325"/>
      <c r="T166" s="325"/>
      <c r="U166" s="325"/>
      <c r="V166" s="325"/>
      <c r="W166" s="325"/>
      <c r="X166" s="20"/>
      <c r="Y166" s="29"/>
      <c r="Z166" s="29"/>
      <c r="AA166" s="29"/>
      <c r="AB166" s="19"/>
      <c r="AC166" s="19"/>
      <c r="AD166" s="19"/>
      <c r="AE166" s="19"/>
      <c r="AF166" s="19"/>
      <c r="AG166" s="19"/>
      <c r="AH166" s="19"/>
      <c r="AI166" s="325" t="s">
        <v>55</v>
      </c>
      <c r="AJ166" s="325"/>
      <c r="AK166" s="325"/>
      <c r="AL166" s="326"/>
      <c r="AM166" s="326"/>
      <c r="AN166" s="21" t="s">
        <v>44</v>
      </c>
      <c r="AO166" s="326"/>
      <c r="AP166" s="326"/>
    </row>
    <row r="167" spans="1:45" s="22" customFormat="1" ht="13.5" thickTop="1" x14ac:dyDescent="0.2">
      <c r="R167" s="23"/>
      <c r="S167" s="23"/>
      <c r="T167" s="23"/>
      <c r="U167" s="23"/>
      <c r="V167" s="23"/>
      <c r="W167" s="23"/>
      <c r="X167" s="23"/>
    </row>
    <row r="168" spans="1:45" s="22" customFormat="1" ht="12.75" x14ac:dyDescent="0.2">
      <c r="R168" s="23"/>
      <c r="S168" s="23"/>
      <c r="T168" s="23"/>
      <c r="U168" s="23"/>
      <c r="V168" s="23"/>
      <c r="W168" s="23"/>
      <c r="X168" s="23"/>
    </row>
    <row r="169" spans="1:45" s="24" customFormat="1" ht="36" x14ac:dyDescent="0.55000000000000004">
      <c r="A169" s="352" t="str">
        <f>SORTEIO!A7</f>
        <v>Campeonato Nacional</v>
      </c>
      <c r="B169" s="352"/>
      <c r="C169" s="352"/>
      <c r="D169" s="352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  <c r="AE169" s="35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</row>
    <row r="170" spans="1:45" s="25" customFormat="1" ht="26.25" x14ac:dyDescent="0.4">
      <c r="A170" s="353" t="s">
        <v>37</v>
      </c>
      <c r="B170" s="353"/>
      <c r="C170" s="353"/>
      <c r="D170" s="353"/>
      <c r="E170" s="353"/>
      <c r="F170" s="353"/>
      <c r="G170" s="353"/>
      <c r="H170" s="353"/>
      <c r="I170" s="353"/>
      <c r="J170" s="353"/>
      <c r="K170" s="353"/>
      <c r="L170" s="353"/>
      <c r="M170" s="353"/>
      <c r="N170" s="353"/>
      <c r="O170" s="353"/>
      <c r="P170" s="353"/>
      <c r="Q170" s="353"/>
      <c r="R170" s="353"/>
      <c r="S170" s="353"/>
      <c r="T170" s="353"/>
      <c r="U170" s="353"/>
      <c r="V170" s="353"/>
      <c r="W170" s="353"/>
      <c r="X170" s="353"/>
      <c r="Y170" s="353"/>
      <c r="Z170" s="353"/>
      <c r="AA170" s="353"/>
      <c r="AB170" s="353"/>
      <c r="AC170" s="353"/>
      <c r="AD170" s="353"/>
      <c r="AE170" s="353"/>
      <c r="AF170" s="353"/>
      <c r="AG170" s="353"/>
      <c r="AH170" s="353"/>
      <c r="AI170" s="353"/>
      <c r="AJ170" s="353"/>
      <c r="AK170" s="353"/>
      <c r="AL170" s="353"/>
      <c r="AM170" s="353"/>
      <c r="AN170" s="353"/>
      <c r="AO170" s="353"/>
      <c r="AP170" s="353"/>
    </row>
    <row r="171" spans="1:45" s="15" customFormat="1" ht="19.5" thickBot="1" x14ac:dyDescent="0.35">
      <c r="A171" s="354" t="str">
        <f>CONCATENATE(SORTEIO!B12," ",SORTEIO!B14)</f>
        <v>Iniciado Masculino</v>
      </c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354"/>
      <c r="R171" s="16"/>
      <c r="S171" s="16"/>
      <c r="T171" s="16"/>
      <c r="U171" s="16"/>
      <c r="V171" s="16"/>
      <c r="W171" s="16"/>
      <c r="X171" s="16"/>
    </row>
    <row r="172" spans="1:45" s="25" customFormat="1" ht="27.75" thickTop="1" thickBot="1" x14ac:dyDescent="0.45">
      <c r="A172" s="355" t="s">
        <v>38</v>
      </c>
      <c r="B172" s="356"/>
      <c r="C172" s="356"/>
      <c r="D172" s="356"/>
      <c r="E172" s="356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56"/>
      <c r="AC172" s="356"/>
      <c r="AD172" s="356"/>
      <c r="AE172" s="356"/>
      <c r="AF172" s="356"/>
      <c r="AG172" s="356"/>
      <c r="AH172" s="356"/>
      <c r="AI172" s="356"/>
      <c r="AJ172" s="356"/>
      <c r="AK172" s="356"/>
      <c r="AL172" s="356"/>
      <c r="AM172" s="356"/>
      <c r="AN172" s="356"/>
      <c r="AO172" s="356"/>
      <c r="AP172" s="357"/>
    </row>
    <row r="173" spans="1:45" s="15" customFormat="1" ht="20.25" thickTop="1" thickBot="1" x14ac:dyDescent="0.35">
      <c r="A173" s="339" t="s">
        <v>39</v>
      </c>
      <c r="B173" s="340"/>
      <c r="C173" s="340"/>
      <c r="D173" s="340"/>
      <c r="E173" s="340"/>
      <c r="F173" s="340"/>
      <c r="G173" s="341"/>
      <c r="H173" s="339" t="s">
        <v>40</v>
      </c>
      <c r="I173" s="340"/>
      <c r="J173" s="340"/>
      <c r="K173" s="340"/>
      <c r="L173" s="340"/>
      <c r="M173" s="340"/>
      <c r="N173" s="341"/>
      <c r="O173" s="339" t="s">
        <v>41</v>
      </c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41"/>
      <c r="AC173" s="339" t="s">
        <v>42</v>
      </c>
      <c r="AD173" s="340"/>
      <c r="AE173" s="340"/>
      <c r="AF173" s="340"/>
      <c r="AG173" s="340"/>
      <c r="AH173" s="340"/>
      <c r="AI173" s="341"/>
      <c r="AJ173" s="339" t="s">
        <v>43</v>
      </c>
      <c r="AK173" s="340"/>
      <c r="AL173" s="340"/>
      <c r="AM173" s="340"/>
      <c r="AN173" s="340"/>
      <c r="AO173" s="340"/>
      <c r="AP173" s="341"/>
    </row>
    <row r="174" spans="1:45" s="26" customFormat="1" ht="63" thickTop="1" thickBot="1" x14ac:dyDescent="0.95">
      <c r="A174" s="345">
        <v>1</v>
      </c>
      <c r="B174" s="346"/>
      <c r="C174" s="346"/>
      <c r="D174" s="346"/>
      <c r="E174" s="346"/>
      <c r="F174" s="346"/>
      <c r="G174" s="347"/>
      <c r="H174" s="345" t="s">
        <v>0</v>
      </c>
      <c r="I174" s="346"/>
      <c r="J174" s="346"/>
      <c r="K174" s="346"/>
      <c r="L174" s="346"/>
      <c r="M174" s="346"/>
      <c r="N174" s="347"/>
      <c r="O174" s="348"/>
      <c r="P174" s="346"/>
      <c r="Q174" s="346"/>
      <c r="R174" s="346"/>
      <c r="S174" s="346"/>
      <c r="T174" s="346"/>
      <c r="U174" s="346"/>
      <c r="V174" s="346"/>
      <c r="W174" s="346"/>
      <c r="X174" s="18" t="s">
        <v>44</v>
      </c>
      <c r="Y174" s="346"/>
      <c r="Z174" s="346"/>
      <c r="AA174" s="346"/>
      <c r="AB174" s="347"/>
      <c r="AC174" s="349"/>
      <c r="AD174" s="350"/>
      <c r="AE174" s="350"/>
      <c r="AF174" s="350"/>
      <c r="AG174" s="350"/>
      <c r="AH174" s="350"/>
      <c r="AI174" s="351"/>
      <c r="AJ174" s="349"/>
      <c r="AK174" s="350"/>
      <c r="AL174" s="350"/>
      <c r="AM174" s="350"/>
      <c r="AN174" s="350"/>
      <c r="AO174" s="350"/>
      <c r="AP174" s="351"/>
      <c r="AS174" s="15"/>
    </row>
    <row r="175" spans="1:45" s="15" customFormat="1" ht="20.25" thickTop="1" thickBot="1" x14ac:dyDescent="0.35">
      <c r="R175" s="16"/>
      <c r="S175" s="16"/>
      <c r="T175" s="16"/>
      <c r="U175" s="16"/>
      <c r="V175" s="16"/>
      <c r="W175" s="16"/>
      <c r="X175" s="16"/>
    </row>
    <row r="176" spans="1:45" s="15" customFormat="1" ht="20.25" thickTop="1" thickBot="1" x14ac:dyDescent="0.35">
      <c r="A176" s="339" t="s">
        <v>45</v>
      </c>
      <c r="B176" s="340"/>
      <c r="C176" s="341"/>
      <c r="D176" s="339" t="s">
        <v>46</v>
      </c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1"/>
      <c r="R176" s="342" t="s">
        <v>76</v>
      </c>
      <c r="S176" s="343"/>
      <c r="T176" s="343"/>
      <c r="U176" s="343"/>
      <c r="V176" s="343"/>
      <c r="W176" s="343"/>
      <c r="X176" s="344"/>
      <c r="Y176" s="339" t="s">
        <v>47</v>
      </c>
      <c r="Z176" s="340"/>
      <c r="AA176" s="341"/>
      <c r="AB176" s="339" t="s">
        <v>48</v>
      </c>
      <c r="AC176" s="340"/>
      <c r="AD176" s="341"/>
      <c r="AE176" s="339" t="s">
        <v>49</v>
      </c>
      <c r="AF176" s="340"/>
      <c r="AG176" s="341"/>
      <c r="AH176" s="339" t="s">
        <v>50</v>
      </c>
      <c r="AI176" s="340"/>
      <c r="AJ176" s="341"/>
      <c r="AK176" s="339" t="s">
        <v>51</v>
      </c>
      <c r="AL176" s="340"/>
      <c r="AM176" s="341"/>
      <c r="AN176" s="339" t="s">
        <v>52</v>
      </c>
      <c r="AO176" s="340"/>
      <c r="AP176" s="341"/>
    </row>
    <row r="177" spans="1:45" s="27" customFormat="1" ht="48" thickTop="1" thickBot="1" x14ac:dyDescent="0.75">
      <c r="A177" s="327">
        <f>VLOOKUP(1,'Fase Grupos'!$AM$50:$AP$57,2,FALSE)</f>
        <v>0</v>
      </c>
      <c r="B177" s="328"/>
      <c r="C177" s="329"/>
      <c r="D177" s="330">
        <f>VLOOKUP(1,'Fase Grupos'!$AM$50:$AP$57,3,FALSE)</f>
        <v>0</v>
      </c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2"/>
      <c r="R177" s="333">
        <f>VLOOKUP(1,'Fase Grupos'!$AM$50:$AP$57,4,FALSE)</f>
        <v>0</v>
      </c>
      <c r="S177" s="334"/>
      <c r="T177" s="334"/>
      <c r="U177" s="334"/>
      <c r="V177" s="334"/>
      <c r="W177" s="334"/>
      <c r="X177" s="335"/>
      <c r="Y177" s="336"/>
      <c r="Z177" s="337"/>
      <c r="AA177" s="338"/>
      <c r="AB177" s="336"/>
      <c r="AC177" s="337"/>
      <c r="AD177" s="338"/>
      <c r="AE177" s="336"/>
      <c r="AF177" s="337"/>
      <c r="AG177" s="338"/>
      <c r="AH177" s="336"/>
      <c r="AI177" s="337"/>
      <c r="AJ177" s="338"/>
      <c r="AK177" s="336"/>
      <c r="AL177" s="337"/>
      <c r="AM177" s="338"/>
      <c r="AN177" s="336"/>
      <c r="AO177" s="337"/>
      <c r="AP177" s="338"/>
      <c r="AS177" s="28"/>
    </row>
    <row r="178" spans="1:45" s="27" customFormat="1" ht="48" customHeight="1" thickTop="1" thickBot="1" x14ac:dyDescent="0.75">
      <c r="A178" s="327">
        <f>VLOOKUP(3,'Fase Grupos'!$AM$50:$AP$57,2,FALSE)</f>
        <v>0</v>
      </c>
      <c r="B178" s="328"/>
      <c r="C178" s="329"/>
      <c r="D178" s="330">
        <f>VLOOKUP(3,'Fase Grupos'!$AM$50:$AP$57,3,FALSE)</f>
        <v>0</v>
      </c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2"/>
      <c r="R178" s="333">
        <f>VLOOKUP(3,'Fase Grupos'!$AM$50:$AP$57,4,FALSE)</f>
        <v>0</v>
      </c>
      <c r="S178" s="334"/>
      <c r="T178" s="334"/>
      <c r="U178" s="334"/>
      <c r="V178" s="334"/>
      <c r="W178" s="334"/>
      <c r="X178" s="335"/>
      <c r="Y178" s="336"/>
      <c r="Z178" s="337"/>
      <c r="AA178" s="338"/>
      <c r="AB178" s="336"/>
      <c r="AC178" s="337"/>
      <c r="AD178" s="338"/>
      <c r="AE178" s="336"/>
      <c r="AF178" s="337"/>
      <c r="AG178" s="338"/>
      <c r="AH178" s="336"/>
      <c r="AI178" s="337"/>
      <c r="AJ178" s="338"/>
      <c r="AK178" s="336"/>
      <c r="AL178" s="337"/>
      <c r="AM178" s="338"/>
      <c r="AN178" s="336"/>
      <c r="AO178" s="337"/>
      <c r="AP178" s="338"/>
    </row>
    <row r="179" spans="1:45" s="15" customFormat="1" ht="24" customHeight="1" thickTop="1" x14ac:dyDescent="0.3">
      <c r="R179" s="16"/>
      <c r="S179" s="16"/>
      <c r="T179" s="16"/>
      <c r="U179" s="16"/>
      <c r="V179" s="16"/>
      <c r="W179" s="16"/>
      <c r="X179" s="16"/>
    </row>
    <row r="180" spans="1:45" s="15" customFormat="1" ht="19.5" thickBot="1" x14ac:dyDescent="0.35">
      <c r="A180" s="325" t="s">
        <v>53</v>
      </c>
      <c r="B180" s="325"/>
      <c r="C180" s="325"/>
      <c r="D180" s="325"/>
      <c r="E180" s="325"/>
      <c r="F180" s="29"/>
      <c r="G180" s="29"/>
      <c r="H180" s="19"/>
      <c r="I180" s="19"/>
      <c r="J180" s="19"/>
      <c r="K180" s="19"/>
      <c r="L180" s="19"/>
      <c r="M180" s="19"/>
      <c r="N180" s="19"/>
      <c r="O180" s="19"/>
      <c r="P180" s="19"/>
      <c r="Q180" s="325" t="s">
        <v>54</v>
      </c>
      <c r="R180" s="325"/>
      <c r="S180" s="325"/>
      <c r="T180" s="325"/>
      <c r="U180" s="325"/>
      <c r="V180" s="325"/>
      <c r="W180" s="325"/>
      <c r="X180" s="20"/>
      <c r="Y180" s="29"/>
      <c r="Z180" s="29"/>
      <c r="AA180" s="29"/>
      <c r="AB180" s="19"/>
      <c r="AC180" s="19"/>
      <c r="AD180" s="19"/>
      <c r="AE180" s="19"/>
      <c r="AF180" s="19"/>
      <c r="AG180" s="19"/>
      <c r="AH180" s="19"/>
      <c r="AI180" s="325" t="s">
        <v>55</v>
      </c>
      <c r="AJ180" s="325"/>
      <c r="AK180" s="325"/>
      <c r="AL180" s="326"/>
      <c r="AM180" s="326"/>
      <c r="AN180" s="21" t="s">
        <v>44</v>
      </c>
      <c r="AO180" s="326"/>
      <c r="AP180" s="326"/>
    </row>
    <row r="181" spans="1:45" s="22" customFormat="1" ht="13.5" thickTop="1" x14ac:dyDescent="0.2">
      <c r="R181" s="23"/>
      <c r="S181" s="23"/>
      <c r="T181" s="23"/>
      <c r="U181" s="23"/>
      <c r="V181" s="23"/>
      <c r="W181" s="23"/>
      <c r="X181" s="23"/>
    </row>
    <row r="182" spans="1:45" s="22" customFormat="1" ht="12.75" x14ac:dyDescent="0.2">
      <c r="R182" s="23"/>
      <c r="S182" s="23"/>
      <c r="T182" s="23"/>
      <c r="U182" s="23"/>
      <c r="V182" s="23"/>
      <c r="W182" s="23"/>
      <c r="X182" s="23"/>
    </row>
    <row r="183" spans="1:45" s="24" customFormat="1" ht="36" x14ac:dyDescent="0.55000000000000004">
      <c r="A183" s="352" t="str">
        <f>SORTEIO!A7</f>
        <v>Campeonato Nacional</v>
      </c>
      <c r="B183" s="352"/>
      <c r="C183" s="352"/>
      <c r="D183" s="352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  <c r="AD183" s="352"/>
      <c r="AE183" s="352"/>
      <c r="AF183" s="352"/>
      <c r="AG183" s="352"/>
      <c r="AH183" s="352"/>
      <c r="AI183" s="352"/>
      <c r="AJ183" s="352"/>
      <c r="AK183" s="352"/>
      <c r="AL183" s="352"/>
      <c r="AM183" s="352"/>
      <c r="AN183" s="352"/>
      <c r="AO183" s="352"/>
      <c r="AP183" s="352"/>
    </row>
    <row r="184" spans="1:45" s="25" customFormat="1" ht="26.25" x14ac:dyDescent="0.4">
      <c r="A184" s="353" t="s">
        <v>37</v>
      </c>
      <c r="B184" s="353"/>
      <c r="C184" s="353"/>
      <c r="D184" s="353"/>
      <c r="E184" s="353"/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3"/>
      <c r="T184" s="353"/>
      <c r="U184" s="353"/>
      <c r="V184" s="353"/>
      <c r="W184" s="353"/>
      <c r="X184" s="353"/>
      <c r="Y184" s="353"/>
      <c r="Z184" s="353"/>
      <c r="AA184" s="353"/>
      <c r="AB184" s="353"/>
      <c r="AC184" s="353"/>
      <c r="AD184" s="353"/>
      <c r="AE184" s="353"/>
      <c r="AF184" s="353"/>
      <c r="AG184" s="353"/>
      <c r="AH184" s="353"/>
      <c r="AI184" s="353"/>
      <c r="AJ184" s="353"/>
      <c r="AK184" s="353"/>
      <c r="AL184" s="353"/>
      <c r="AM184" s="353"/>
      <c r="AN184" s="353"/>
      <c r="AO184" s="353"/>
      <c r="AP184" s="353"/>
    </row>
    <row r="185" spans="1:45" s="15" customFormat="1" ht="19.5" thickBot="1" x14ac:dyDescent="0.35">
      <c r="A185" s="354" t="str">
        <f>CONCATENATE(SORTEIO!B12," ",SORTEIO!B14)</f>
        <v>Iniciado Masculino</v>
      </c>
      <c r="B185" s="354"/>
      <c r="C185" s="354"/>
      <c r="D185" s="354"/>
      <c r="E185" s="354"/>
      <c r="F185" s="354"/>
      <c r="G185" s="354"/>
      <c r="H185" s="354"/>
      <c r="I185" s="354"/>
      <c r="J185" s="354"/>
      <c r="K185" s="354"/>
      <c r="L185" s="354"/>
      <c r="M185" s="354"/>
      <c r="N185" s="354"/>
      <c r="R185" s="16"/>
      <c r="S185" s="16"/>
      <c r="T185" s="16"/>
      <c r="U185" s="16"/>
      <c r="V185" s="16"/>
      <c r="W185" s="16"/>
      <c r="X185" s="16"/>
    </row>
    <row r="186" spans="1:45" s="25" customFormat="1" ht="27.75" thickTop="1" thickBot="1" x14ac:dyDescent="0.45">
      <c r="A186" s="355" t="s">
        <v>38</v>
      </c>
      <c r="B186" s="356"/>
      <c r="C186" s="356"/>
      <c r="D186" s="356"/>
      <c r="E186" s="356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56"/>
      <c r="AC186" s="356"/>
      <c r="AD186" s="356"/>
      <c r="AE186" s="356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7"/>
    </row>
    <row r="187" spans="1:45" s="15" customFormat="1" ht="20.25" thickTop="1" thickBot="1" x14ac:dyDescent="0.35">
      <c r="A187" s="339" t="s">
        <v>39</v>
      </c>
      <c r="B187" s="340"/>
      <c r="C187" s="340"/>
      <c r="D187" s="340"/>
      <c r="E187" s="340"/>
      <c r="F187" s="340"/>
      <c r="G187" s="341"/>
      <c r="H187" s="339" t="s">
        <v>40</v>
      </c>
      <c r="I187" s="340"/>
      <c r="J187" s="340"/>
      <c r="K187" s="340"/>
      <c r="L187" s="340"/>
      <c r="M187" s="340"/>
      <c r="N187" s="341"/>
      <c r="O187" s="339" t="s">
        <v>41</v>
      </c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1"/>
      <c r="AC187" s="339" t="s">
        <v>42</v>
      </c>
      <c r="AD187" s="340"/>
      <c r="AE187" s="340"/>
      <c r="AF187" s="340"/>
      <c r="AG187" s="340"/>
      <c r="AH187" s="340"/>
      <c r="AI187" s="341"/>
      <c r="AJ187" s="339" t="s">
        <v>43</v>
      </c>
      <c r="AK187" s="340"/>
      <c r="AL187" s="340"/>
      <c r="AM187" s="340"/>
      <c r="AN187" s="340"/>
      <c r="AO187" s="340"/>
      <c r="AP187" s="341"/>
    </row>
    <row r="188" spans="1:45" s="26" customFormat="1" ht="63" thickTop="1" thickBot="1" x14ac:dyDescent="0.95">
      <c r="A188" s="345">
        <v>2</v>
      </c>
      <c r="B188" s="346"/>
      <c r="C188" s="346"/>
      <c r="D188" s="346"/>
      <c r="E188" s="346"/>
      <c r="F188" s="346"/>
      <c r="G188" s="347"/>
      <c r="H188" s="345" t="s">
        <v>0</v>
      </c>
      <c r="I188" s="346"/>
      <c r="J188" s="346"/>
      <c r="K188" s="346"/>
      <c r="L188" s="346"/>
      <c r="M188" s="346"/>
      <c r="N188" s="347"/>
      <c r="O188" s="348"/>
      <c r="P188" s="346"/>
      <c r="Q188" s="346"/>
      <c r="R188" s="346"/>
      <c r="S188" s="346"/>
      <c r="T188" s="346"/>
      <c r="U188" s="346"/>
      <c r="V188" s="346"/>
      <c r="W188" s="346"/>
      <c r="X188" s="18" t="s">
        <v>44</v>
      </c>
      <c r="Y188" s="346"/>
      <c r="Z188" s="346"/>
      <c r="AA188" s="346"/>
      <c r="AB188" s="347"/>
      <c r="AC188" s="349"/>
      <c r="AD188" s="350"/>
      <c r="AE188" s="350"/>
      <c r="AF188" s="350"/>
      <c r="AG188" s="350"/>
      <c r="AH188" s="350"/>
      <c r="AI188" s="351"/>
      <c r="AJ188" s="349"/>
      <c r="AK188" s="350"/>
      <c r="AL188" s="350"/>
      <c r="AM188" s="350"/>
      <c r="AN188" s="350"/>
      <c r="AO188" s="350"/>
      <c r="AP188" s="351"/>
      <c r="AS188" s="15"/>
    </row>
    <row r="189" spans="1:45" s="15" customFormat="1" ht="20.25" thickTop="1" thickBot="1" x14ac:dyDescent="0.35">
      <c r="R189" s="16"/>
      <c r="S189" s="16"/>
      <c r="T189" s="16"/>
      <c r="U189" s="16"/>
      <c r="V189" s="16"/>
      <c r="W189" s="16"/>
      <c r="X189" s="16"/>
    </row>
    <row r="190" spans="1:45" s="15" customFormat="1" ht="20.25" thickTop="1" thickBot="1" x14ac:dyDescent="0.35">
      <c r="A190" s="339" t="s">
        <v>45</v>
      </c>
      <c r="B190" s="340"/>
      <c r="C190" s="341"/>
      <c r="D190" s="339" t="s">
        <v>46</v>
      </c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1"/>
      <c r="R190" s="342" t="s">
        <v>76</v>
      </c>
      <c r="S190" s="343"/>
      <c r="T190" s="343"/>
      <c r="U190" s="343"/>
      <c r="V190" s="343"/>
      <c r="W190" s="343"/>
      <c r="X190" s="344"/>
      <c r="Y190" s="339" t="s">
        <v>47</v>
      </c>
      <c r="Z190" s="340"/>
      <c r="AA190" s="341"/>
      <c r="AB190" s="339" t="s">
        <v>48</v>
      </c>
      <c r="AC190" s="340"/>
      <c r="AD190" s="341"/>
      <c r="AE190" s="339" t="s">
        <v>49</v>
      </c>
      <c r="AF190" s="340"/>
      <c r="AG190" s="341"/>
      <c r="AH190" s="339" t="s">
        <v>50</v>
      </c>
      <c r="AI190" s="340"/>
      <c r="AJ190" s="341"/>
      <c r="AK190" s="339" t="s">
        <v>51</v>
      </c>
      <c r="AL190" s="340"/>
      <c r="AM190" s="341"/>
      <c r="AN190" s="339" t="s">
        <v>52</v>
      </c>
      <c r="AO190" s="340"/>
      <c r="AP190" s="341"/>
    </row>
    <row r="191" spans="1:45" s="27" customFormat="1" ht="48" thickTop="1" thickBot="1" x14ac:dyDescent="0.75">
      <c r="A191" s="327">
        <f>VLOOKUP(2,'Fase Grupos'!$AM$50:$AP$57,2,FALSE)</f>
        <v>0</v>
      </c>
      <c r="B191" s="328"/>
      <c r="C191" s="329"/>
      <c r="D191" s="330">
        <f>VLOOKUP(2,'Fase Grupos'!$AM$50:$AP$57,3,FALSE)</f>
        <v>0</v>
      </c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2"/>
      <c r="R191" s="333">
        <f>VLOOKUP(2,'Fase Grupos'!$AM$50:$AP$57,4,FALSE)</f>
        <v>0</v>
      </c>
      <c r="S191" s="334"/>
      <c r="T191" s="334"/>
      <c r="U191" s="334"/>
      <c r="V191" s="334"/>
      <c r="W191" s="334"/>
      <c r="X191" s="335"/>
      <c r="Y191" s="336"/>
      <c r="Z191" s="337"/>
      <c r="AA191" s="338"/>
      <c r="AB191" s="336"/>
      <c r="AC191" s="337"/>
      <c r="AD191" s="338"/>
      <c r="AE191" s="336"/>
      <c r="AF191" s="337"/>
      <c r="AG191" s="338"/>
      <c r="AH191" s="336"/>
      <c r="AI191" s="337"/>
      <c r="AJ191" s="338"/>
      <c r="AK191" s="336"/>
      <c r="AL191" s="337"/>
      <c r="AM191" s="338"/>
      <c r="AN191" s="336"/>
      <c r="AO191" s="337"/>
      <c r="AP191" s="338"/>
      <c r="AS191" s="28"/>
    </row>
    <row r="192" spans="1:45" s="27" customFormat="1" ht="48" customHeight="1" thickTop="1" thickBot="1" x14ac:dyDescent="0.75">
      <c r="A192" s="327">
        <f>VLOOKUP(4,'Fase Grupos'!$AM$50:$AP$57,2,FALSE)</f>
        <v>0</v>
      </c>
      <c r="B192" s="328"/>
      <c r="C192" s="329"/>
      <c r="D192" s="330">
        <f>VLOOKUP(4,'Fase Grupos'!$AM$50:$AP$57,3,FALSE)</f>
        <v>0</v>
      </c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2"/>
      <c r="R192" s="333">
        <f>VLOOKUP(4,'Fase Grupos'!$AM$50:$AP$57,4,FALSE)</f>
        <v>0</v>
      </c>
      <c r="S192" s="334"/>
      <c r="T192" s="334"/>
      <c r="U192" s="334"/>
      <c r="V192" s="334"/>
      <c r="W192" s="334"/>
      <c r="X192" s="335"/>
      <c r="Y192" s="336"/>
      <c r="Z192" s="337"/>
      <c r="AA192" s="338"/>
      <c r="AB192" s="336"/>
      <c r="AC192" s="337"/>
      <c r="AD192" s="338"/>
      <c r="AE192" s="336"/>
      <c r="AF192" s="337"/>
      <c r="AG192" s="338"/>
      <c r="AH192" s="336"/>
      <c r="AI192" s="337"/>
      <c r="AJ192" s="338"/>
      <c r="AK192" s="336"/>
      <c r="AL192" s="337"/>
      <c r="AM192" s="338"/>
      <c r="AN192" s="336"/>
      <c r="AO192" s="337"/>
      <c r="AP192" s="338"/>
    </row>
    <row r="193" spans="1:45" s="15" customFormat="1" ht="24" customHeight="1" thickTop="1" x14ac:dyDescent="0.3">
      <c r="R193" s="16"/>
      <c r="S193" s="16"/>
      <c r="T193" s="16"/>
      <c r="U193" s="16"/>
      <c r="V193" s="16"/>
      <c r="W193" s="16"/>
      <c r="X193" s="16"/>
    </row>
    <row r="194" spans="1:45" s="15" customFormat="1" ht="19.5" thickBot="1" x14ac:dyDescent="0.35">
      <c r="A194" s="325" t="s">
        <v>53</v>
      </c>
      <c r="B194" s="325"/>
      <c r="C194" s="325"/>
      <c r="D194" s="325"/>
      <c r="E194" s="325"/>
      <c r="F194" s="29"/>
      <c r="G194" s="29"/>
      <c r="H194" s="19"/>
      <c r="I194" s="19"/>
      <c r="J194" s="19"/>
      <c r="K194" s="19"/>
      <c r="L194" s="19"/>
      <c r="M194" s="19"/>
      <c r="N194" s="19"/>
      <c r="O194" s="19"/>
      <c r="P194" s="19"/>
      <c r="Q194" s="325" t="s">
        <v>54</v>
      </c>
      <c r="R194" s="325"/>
      <c r="S194" s="325"/>
      <c r="T194" s="325"/>
      <c r="U194" s="325"/>
      <c r="V194" s="325"/>
      <c r="W194" s="325"/>
      <c r="X194" s="20"/>
      <c r="Y194" s="29"/>
      <c r="Z194" s="29"/>
      <c r="AA194" s="29"/>
      <c r="AB194" s="19"/>
      <c r="AC194" s="19"/>
      <c r="AD194" s="19"/>
      <c r="AE194" s="19"/>
      <c r="AF194" s="19"/>
      <c r="AG194" s="19"/>
      <c r="AH194" s="19"/>
      <c r="AI194" s="325" t="s">
        <v>55</v>
      </c>
      <c r="AJ194" s="325"/>
      <c r="AK194" s="325"/>
      <c r="AL194" s="326"/>
      <c r="AM194" s="326"/>
      <c r="AN194" s="21" t="s">
        <v>44</v>
      </c>
      <c r="AO194" s="326"/>
      <c r="AP194" s="326"/>
    </row>
    <row r="195" spans="1:45" s="22" customFormat="1" ht="13.5" thickTop="1" x14ac:dyDescent="0.2">
      <c r="R195" s="23"/>
      <c r="S195" s="23"/>
      <c r="T195" s="23"/>
      <c r="U195" s="23"/>
      <c r="V195" s="23"/>
      <c r="W195" s="23"/>
      <c r="X195" s="23"/>
    </row>
    <row r="196" spans="1:45" s="22" customFormat="1" ht="12.75" x14ac:dyDescent="0.2">
      <c r="R196" s="23"/>
      <c r="S196" s="23"/>
      <c r="T196" s="23"/>
      <c r="U196" s="23"/>
      <c r="V196" s="23"/>
      <c r="W196" s="23"/>
      <c r="X196" s="23"/>
    </row>
    <row r="197" spans="1:45" s="24" customFormat="1" ht="36" x14ac:dyDescent="0.55000000000000004">
      <c r="A197" s="352" t="str">
        <f>SORTEIO!A7</f>
        <v>Campeonato Nacional</v>
      </c>
      <c r="B197" s="352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  <c r="AD197" s="352"/>
      <c r="AE197" s="352"/>
      <c r="AF197" s="352"/>
      <c r="AG197" s="352"/>
      <c r="AH197" s="352"/>
      <c r="AI197" s="352"/>
      <c r="AJ197" s="352"/>
      <c r="AK197" s="352"/>
      <c r="AL197" s="352"/>
      <c r="AM197" s="352"/>
      <c r="AN197" s="352"/>
      <c r="AO197" s="352"/>
      <c r="AP197" s="352"/>
    </row>
    <row r="198" spans="1:45" s="25" customFormat="1" ht="26.25" x14ac:dyDescent="0.4">
      <c r="A198" s="353" t="s">
        <v>37</v>
      </c>
      <c r="B198" s="353"/>
      <c r="C198" s="353"/>
      <c r="D198" s="353"/>
      <c r="E198" s="353"/>
      <c r="F198" s="353"/>
      <c r="G198" s="353"/>
      <c r="H198" s="353"/>
      <c r="I198" s="353"/>
      <c r="J198" s="353"/>
      <c r="K198" s="353"/>
      <c r="L198" s="353"/>
      <c r="M198" s="353"/>
      <c r="N198" s="353"/>
      <c r="O198" s="353"/>
      <c r="P198" s="353"/>
      <c r="Q198" s="353"/>
      <c r="R198" s="353"/>
      <c r="S198" s="353"/>
      <c r="T198" s="353"/>
      <c r="U198" s="353"/>
      <c r="V198" s="353"/>
      <c r="W198" s="353"/>
      <c r="X198" s="353"/>
      <c r="Y198" s="353"/>
      <c r="Z198" s="353"/>
      <c r="AA198" s="353"/>
      <c r="AB198" s="353"/>
      <c r="AC198" s="353"/>
      <c r="AD198" s="353"/>
      <c r="AE198" s="353"/>
      <c r="AF198" s="353"/>
      <c r="AG198" s="353"/>
      <c r="AH198" s="353"/>
      <c r="AI198" s="353"/>
      <c r="AJ198" s="353"/>
      <c r="AK198" s="353"/>
      <c r="AL198" s="353"/>
      <c r="AM198" s="353"/>
      <c r="AN198" s="353"/>
      <c r="AO198" s="353"/>
      <c r="AP198" s="353"/>
    </row>
    <row r="199" spans="1:45" s="15" customFormat="1" ht="19.5" thickBot="1" x14ac:dyDescent="0.35">
      <c r="A199" s="354" t="str">
        <f>CONCATENATE(SORTEIO!B12," ",SORTEIO!B14)</f>
        <v>Iniciado Masculino</v>
      </c>
      <c r="B199" s="354"/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R199" s="16"/>
      <c r="S199" s="16"/>
      <c r="T199" s="16"/>
      <c r="U199" s="16"/>
      <c r="V199" s="16"/>
      <c r="W199" s="16"/>
      <c r="X199" s="16"/>
    </row>
    <row r="200" spans="1:45" s="25" customFormat="1" ht="27.75" thickTop="1" thickBot="1" x14ac:dyDescent="0.45">
      <c r="A200" s="355" t="s">
        <v>38</v>
      </c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56"/>
      <c r="AC200" s="356"/>
      <c r="AD200" s="356"/>
      <c r="AE200" s="356"/>
      <c r="AF200" s="356"/>
      <c r="AG200" s="356"/>
      <c r="AH200" s="356"/>
      <c r="AI200" s="356"/>
      <c r="AJ200" s="356"/>
      <c r="AK200" s="356"/>
      <c r="AL200" s="356"/>
      <c r="AM200" s="356"/>
      <c r="AN200" s="356"/>
      <c r="AO200" s="356"/>
      <c r="AP200" s="357"/>
    </row>
    <row r="201" spans="1:45" s="15" customFormat="1" ht="20.25" thickTop="1" thickBot="1" x14ac:dyDescent="0.35">
      <c r="A201" s="339" t="s">
        <v>39</v>
      </c>
      <c r="B201" s="340"/>
      <c r="C201" s="340"/>
      <c r="D201" s="340"/>
      <c r="E201" s="340"/>
      <c r="F201" s="340"/>
      <c r="G201" s="341"/>
      <c r="H201" s="339" t="s">
        <v>40</v>
      </c>
      <c r="I201" s="340"/>
      <c r="J201" s="340"/>
      <c r="K201" s="340"/>
      <c r="L201" s="340"/>
      <c r="M201" s="340"/>
      <c r="N201" s="341"/>
      <c r="O201" s="339" t="s">
        <v>41</v>
      </c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41"/>
      <c r="AC201" s="339" t="s">
        <v>42</v>
      </c>
      <c r="AD201" s="340"/>
      <c r="AE201" s="340"/>
      <c r="AF201" s="340"/>
      <c r="AG201" s="340"/>
      <c r="AH201" s="340"/>
      <c r="AI201" s="341"/>
      <c r="AJ201" s="339" t="s">
        <v>43</v>
      </c>
      <c r="AK201" s="340"/>
      <c r="AL201" s="340"/>
      <c r="AM201" s="340"/>
      <c r="AN201" s="340"/>
      <c r="AO201" s="340"/>
      <c r="AP201" s="341"/>
    </row>
    <row r="202" spans="1:45" s="26" customFormat="1" ht="63" thickTop="1" thickBot="1" x14ac:dyDescent="0.95">
      <c r="A202" s="345">
        <v>3</v>
      </c>
      <c r="B202" s="346"/>
      <c r="C202" s="346"/>
      <c r="D202" s="346"/>
      <c r="E202" s="346"/>
      <c r="F202" s="346"/>
      <c r="G202" s="347"/>
      <c r="H202" s="345" t="s">
        <v>0</v>
      </c>
      <c r="I202" s="346"/>
      <c r="J202" s="346"/>
      <c r="K202" s="346"/>
      <c r="L202" s="346"/>
      <c r="M202" s="346"/>
      <c r="N202" s="347"/>
      <c r="O202" s="348"/>
      <c r="P202" s="346"/>
      <c r="Q202" s="346"/>
      <c r="R202" s="346"/>
      <c r="S202" s="346"/>
      <c r="T202" s="346"/>
      <c r="U202" s="346"/>
      <c r="V202" s="346"/>
      <c r="W202" s="346"/>
      <c r="X202" s="18" t="s">
        <v>44</v>
      </c>
      <c r="Y202" s="346"/>
      <c r="Z202" s="346"/>
      <c r="AA202" s="346"/>
      <c r="AB202" s="347"/>
      <c r="AC202" s="349"/>
      <c r="AD202" s="350"/>
      <c r="AE202" s="350"/>
      <c r="AF202" s="350"/>
      <c r="AG202" s="350"/>
      <c r="AH202" s="350"/>
      <c r="AI202" s="351"/>
      <c r="AJ202" s="349"/>
      <c r="AK202" s="350"/>
      <c r="AL202" s="350"/>
      <c r="AM202" s="350"/>
      <c r="AN202" s="350"/>
      <c r="AO202" s="350"/>
      <c r="AP202" s="351"/>
      <c r="AS202" s="15"/>
    </row>
    <row r="203" spans="1:45" s="15" customFormat="1" ht="20.25" thickTop="1" thickBot="1" x14ac:dyDescent="0.35">
      <c r="R203" s="16"/>
      <c r="S203" s="16"/>
      <c r="T203" s="16"/>
      <c r="U203" s="16"/>
      <c r="V203" s="16"/>
      <c r="W203" s="16"/>
      <c r="X203" s="16"/>
    </row>
    <row r="204" spans="1:45" s="15" customFormat="1" ht="20.25" thickTop="1" thickBot="1" x14ac:dyDescent="0.35">
      <c r="A204" s="339" t="s">
        <v>45</v>
      </c>
      <c r="B204" s="340"/>
      <c r="C204" s="341"/>
      <c r="D204" s="339" t="s">
        <v>46</v>
      </c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1"/>
      <c r="R204" s="342" t="s">
        <v>76</v>
      </c>
      <c r="S204" s="343"/>
      <c r="T204" s="343"/>
      <c r="U204" s="343"/>
      <c r="V204" s="343"/>
      <c r="W204" s="343"/>
      <c r="X204" s="344"/>
      <c r="Y204" s="339" t="s">
        <v>47</v>
      </c>
      <c r="Z204" s="340"/>
      <c r="AA204" s="341"/>
      <c r="AB204" s="339" t="s">
        <v>48</v>
      </c>
      <c r="AC204" s="340"/>
      <c r="AD204" s="341"/>
      <c r="AE204" s="339" t="s">
        <v>49</v>
      </c>
      <c r="AF204" s="340"/>
      <c r="AG204" s="341"/>
      <c r="AH204" s="339" t="s">
        <v>50</v>
      </c>
      <c r="AI204" s="340"/>
      <c r="AJ204" s="341"/>
      <c r="AK204" s="339" t="s">
        <v>51</v>
      </c>
      <c r="AL204" s="340"/>
      <c r="AM204" s="341"/>
      <c r="AN204" s="339" t="s">
        <v>52</v>
      </c>
      <c r="AO204" s="340"/>
      <c r="AP204" s="341"/>
    </row>
    <row r="205" spans="1:45" s="27" customFormat="1" ht="48" thickTop="1" thickBot="1" x14ac:dyDescent="0.75">
      <c r="A205" s="327">
        <f>VLOOKUP(1,'Fase Grupos'!$AM$50:$AP$57,2,FALSE)</f>
        <v>0</v>
      </c>
      <c r="B205" s="328"/>
      <c r="C205" s="329"/>
      <c r="D205" s="330">
        <f>VLOOKUP(1,'Fase Grupos'!$AM$50:$AP$57,3,FALSE)</f>
        <v>0</v>
      </c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2"/>
      <c r="R205" s="333">
        <f>VLOOKUP(1,'Fase Grupos'!$AM$50:$AP$57,4,FALSE)</f>
        <v>0</v>
      </c>
      <c r="S205" s="334"/>
      <c r="T205" s="334"/>
      <c r="U205" s="334"/>
      <c r="V205" s="334"/>
      <c r="W205" s="334"/>
      <c r="X205" s="335"/>
      <c r="Y205" s="336"/>
      <c r="Z205" s="337"/>
      <c r="AA205" s="338"/>
      <c r="AB205" s="336"/>
      <c r="AC205" s="337"/>
      <c r="AD205" s="338"/>
      <c r="AE205" s="336"/>
      <c r="AF205" s="337"/>
      <c r="AG205" s="338"/>
      <c r="AH205" s="336"/>
      <c r="AI205" s="337"/>
      <c r="AJ205" s="338"/>
      <c r="AK205" s="336"/>
      <c r="AL205" s="337"/>
      <c r="AM205" s="338"/>
      <c r="AN205" s="336"/>
      <c r="AO205" s="337"/>
      <c r="AP205" s="338"/>
      <c r="AS205" s="28"/>
    </row>
    <row r="206" spans="1:45" s="27" customFormat="1" ht="48" customHeight="1" thickTop="1" thickBot="1" x14ac:dyDescent="0.75">
      <c r="A206" s="327">
        <f>VLOOKUP(2,'Fase Grupos'!$AM$50:$AP$57,2,FALSE)</f>
        <v>0</v>
      </c>
      <c r="B206" s="328"/>
      <c r="C206" s="329"/>
      <c r="D206" s="330">
        <f>VLOOKUP(2,'Fase Grupos'!$AM$50:$AP$57,3,FALSE)</f>
        <v>0</v>
      </c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2"/>
      <c r="R206" s="333">
        <f>VLOOKUP(2,'Fase Grupos'!$AM$50:$AP$57,4,FALSE)</f>
        <v>0</v>
      </c>
      <c r="S206" s="334"/>
      <c r="T206" s="334"/>
      <c r="U206" s="334"/>
      <c r="V206" s="334"/>
      <c r="W206" s="334"/>
      <c r="X206" s="335"/>
      <c r="Y206" s="336"/>
      <c r="Z206" s="337"/>
      <c r="AA206" s="338"/>
      <c r="AB206" s="336"/>
      <c r="AC206" s="337"/>
      <c r="AD206" s="338"/>
      <c r="AE206" s="336"/>
      <c r="AF206" s="337"/>
      <c r="AG206" s="338"/>
      <c r="AH206" s="336"/>
      <c r="AI206" s="337"/>
      <c r="AJ206" s="338"/>
      <c r="AK206" s="336"/>
      <c r="AL206" s="337"/>
      <c r="AM206" s="338"/>
      <c r="AN206" s="336"/>
      <c r="AO206" s="337"/>
      <c r="AP206" s="338"/>
    </row>
    <row r="207" spans="1:45" s="15" customFormat="1" ht="24" customHeight="1" thickTop="1" x14ac:dyDescent="0.3">
      <c r="R207" s="16"/>
      <c r="S207" s="16"/>
      <c r="T207" s="16"/>
      <c r="U207" s="16"/>
      <c r="V207" s="16"/>
      <c r="W207" s="16"/>
      <c r="X207" s="16"/>
    </row>
    <row r="208" spans="1:45" s="15" customFormat="1" ht="19.5" thickBot="1" x14ac:dyDescent="0.35">
      <c r="A208" s="325" t="s">
        <v>53</v>
      </c>
      <c r="B208" s="325"/>
      <c r="C208" s="325"/>
      <c r="D208" s="325"/>
      <c r="E208" s="325"/>
      <c r="F208" s="29"/>
      <c r="G208" s="29"/>
      <c r="H208" s="19"/>
      <c r="I208" s="19"/>
      <c r="J208" s="19"/>
      <c r="K208" s="19"/>
      <c r="L208" s="19"/>
      <c r="M208" s="19"/>
      <c r="N208" s="19"/>
      <c r="O208" s="19"/>
      <c r="P208" s="19"/>
      <c r="Q208" s="325" t="s">
        <v>54</v>
      </c>
      <c r="R208" s="325"/>
      <c r="S208" s="325"/>
      <c r="T208" s="325"/>
      <c r="U208" s="325"/>
      <c r="V208" s="325"/>
      <c r="W208" s="325"/>
      <c r="X208" s="20"/>
      <c r="Y208" s="29"/>
      <c r="Z208" s="29"/>
      <c r="AA208" s="29"/>
      <c r="AB208" s="19"/>
      <c r="AC208" s="19"/>
      <c r="AD208" s="19"/>
      <c r="AE208" s="19"/>
      <c r="AF208" s="19"/>
      <c r="AG208" s="19"/>
      <c r="AH208" s="19"/>
      <c r="AI208" s="325" t="s">
        <v>55</v>
      </c>
      <c r="AJ208" s="325"/>
      <c r="AK208" s="325"/>
      <c r="AL208" s="326"/>
      <c r="AM208" s="326"/>
      <c r="AN208" s="21" t="s">
        <v>44</v>
      </c>
      <c r="AO208" s="326"/>
      <c r="AP208" s="326"/>
    </row>
    <row r="209" spans="1:45" s="22" customFormat="1" ht="13.5" thickTop="1" x14ac:dyDescent="0.2">
      <c r="R209" s="23"/>
      <c r="S209" s="23"/>
      <c r="T209" s="23"/>
      <c r="U209" s="23"/>
      <c r="V209" s="23"/>
      <c r="W209" s="23"/>
      <c r="X209" s="23"/>
    </row>
    <row r="210" spans="1:45" s="22" customFormat="1" ht="12.75" x14ac:dyDescent="0.2">
      <c r="R210" s="23"/>
      <c r="S210" s="23"/>
      <c r="T210" s="23"/>
      <c r="U210" s="23"/>
      <c r="V210" s="23"/>
      <c r="W210" s="23"/>
      <c r="X210" s="23"/>
    </row>
    <row r="211" spans="1:45" s="24" customFormat="1" ht="36" x14ac:dyDescent="0.55000000000000004">
      <c r="A211" s="352" t="str">
        <f>SORTEIO!A7</f>
        <v>Campeonato Nacional</v>
      </c>
      <c r="B211" s="352"/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  <c r="AL211" s="352"/>
      <c r="AM211" s="352"/>
      <c r="AN211" s="352"/>
      <c r="AO211" s="352"/>
      <c r="AP211" s="352"/>
    </row>
    <row r="212" spans="1:45" s="25" customFormat="1" ht="26.25" x14ac:dyDescent="0.4">
      <c r="A212" s="353" t="s">
        <v>37</v>
      </c>
      <c r="B212" s="353"/>
      <c r="C212" s="353"/>
      <c r="D212" s="353"/>
      <c r="E212" s="353"/>
      <c r="F212" s="353"/>
      <c r="G212" s="353"/>
      <c r="H212" s="353"/>
      <c r="I212" s="353"/>
      <c r="J212" s="353"/>
      <c r="K212" s="353"/>
      <c r="L212" s="353"/>
      <c r="M212" s="353"/>
      <c r="N212" s="353"/>
      <c r="O212" s="353"/>
      <c r="P212" s="353"/>
      <c r="Q212" s="353"/>
      <c r="R212" s="353"/>
      <c r="S212" s="353"/>
      <c r="T212" s="353"/>
      <c r="U212" s="353"/>
      <c r="V212" s="353"/>
      <c r="W212" s="353"/>
      <c r="X212" s="353"/>
      <c r="Y212" s="353"/>
      <c r="Z212" s="353"/>
      <c r="AA212" s="353"/>
      <c r="AB212" s="353"/>
      <c r="AC212" s="353"/>
      <c r="AD212" s="353"/>
      <c r="AE212" s="353"/>
      <c r="AF212" s="353"/>
      <c r="AG212" s="353"/>
      <c r="AH212" s="353"/>
      <c r="AI212" s="353"/>
      <c r="AJ212" s="353"/>
      <c r="AK212" s="353"/>
      <c r="AL212" s="353"/>
      <c r="AM212" s="353"/>
      <c r="AN212" s="353"/>
      <c r="AO212" s="353"/>
      <c r="AP212" s="353"/>
    </row>
    <row r="213" spans="1:45" s="15" customFormat="1" ht="19.5" thickBot="1" x14ac:dyDescent="0.35">
      <c r="A213" s="354" t="str">
        <f>CONCATENATE(SORTEIO!B12," ",SORTEIO!B14)</f>
        <v>Iniciado Masculino</v>
      </c>
      <c r="B213" s="354"/>
      <c r="C213" s="354"/>
      <c r="D213" s="354"/>
      <c r="E213" s="354"/>
      <c r="F213" s="354"/>
      <c r="G213" s="354"/>
      <c r="H213" s="354"/>
      <c r="I213" s="354"/>
      <c r="J213" s="354"/>
      <c r="K213" s="354"/>
      <c r="L213" s="354"/>
      <c r="M213" s="354"/>
      <c r="N213" s="354"/>
      <c r="R213" s="16"/>
      <c r="S213" s="16"/>
      <c r="T213" s="16"/>
      <c r="U213" s="16"/>
      <c r="V213" s="16"/>
      <c r="W213" s="16"/>
      <c r="X213" s="16"/>
    </row>
    <row r="214" spans="1:45" s="25" customFormat="1" ht="27.75" thickTop="1" thickBot="1" x14ac:dyDescent="0.45">
      <c r="A214" s="355" t="s">
        <v>38</v>
      </c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  <c r="Z214" s="356"/>
      <c r="AA214" s="356"/>
      <c r="AB214" s="356"/>
      <c r="AC214" s="356"/>
      <c r="AD214" s="356"/>
      <c r="AE214" s="356"/>
      <c r="AF214" s="356"/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357"/>
    </row>
    <row r="215" spans="1:45" s="15" customFormat="1" ht="20.25" thickTop="1" thickBot="1" x14ac:dyDescent="0.35">
      <c r="A215" s="339" t="s">
        <v>39</v>
      </c>
      <c r="B215" s="340"/>
      <c r="C215" s="340"/>
      <c r="D215" s="340"/>
      <c r="E215" s="340"/>
      <c r="F215" s="340"/>
      <c r="G215" s="341"/>
      <c r="H215" s="339" t="s">
        <v>40</v>
      </c>
      <c r="I215" s="340"/>
      <c r="J215" s="340"/>
      <c r="K215" s="340"/>
      <c r="L215" s="340"/>
      <c r="M215" s="340"/>
      <c r="N215" s="341"/>
      <c r="O215" s="339" t="s">
        <v>41</v>
      </c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40"/>
      <c r="AB215" s="341"/>
      <c r="AC215" s="339" t="s">
        <v>42</v>
      </c>
      <c r="AD215" s="340"/>
      <c r="AE215" s="340"/>
      <c r="AF215" s="340"/>
      <c r="AG215" s="340"/>
      <c r="AH215" s="340"/>
      <c r="AI215" s="341"/>
      <c r="AJ215" s="339" t="s">
        <v>43</v>
      </c>
      <c r="AK215" s="340"/>
      <c r="AL215" s="340"/>
      <c r="AM215" s="340"/>
      <c r="AN215" s="340"/>
      <c r="AO215" s="340"/>
      <c r="AP215" s="341"/>
    </row>
    <row r="216" spans="1:45" s="26" customFormat="1" ht="63" thickTop="1" thickBot="1" x14ac:dyDescent="0.95">
      <c r="A216" s="345">
        <v>4</v>
      </c>
      <c r="B216" s="346"/>
      <c r="C216" s="346"/>
      <c r="D216" s="346"/>
      <c r="E216" s="346"/>
      <c r="F216" s="346"/>
      <c r="G216" s="347"/>
      <c r="H216" s="345" t="s">
        <v>0</v>
      </c>
      <c r="I216" s="346"/>
      <c r="J216" s="346"/>
      <c r="K216" s="346"/>
      <c r="L216" s="346"/>
      <c r="M216" s="346"/>
      <c r="N216" s="347"/>
      <c r="O216" s="348"/>
      <c r="P216" s="346"/>
      <c r="Q216" s="346"/>
      <c r="R216" s="346"/>
      <c r="S216" s="346"/>
      <c r="T216" s="346"/>
      <c r="U216" s="346"/>
      <c r="V216" s="346"/>
      <c r="W216" s="346"/>
      <c r="X216" s="18" t="s">
        <v>44</v>
      </c>
      <c r="Y216" s="346"/>
      <c r="Z216" s="346"/>
      <c r="AA216" s="346"/>
      <c r="AB216" s="347"/>
      <c r="AC216" s="349"/>
      <c r="AD216" s="350"/>
      <c r="AE216" s="350"/>
      <c r="AF216" s="350"/>
      <c r="AG216" s="350"/>
      <c r="AH216" s="350"/>
      <c r="AI216" s="351"/>
      <c r="AJ216" s="349"/>
      <c r="AK216" s="350"/>
      <c r="AL216" s="350"/>
      <c r="AM216" s="350"/>
      <c r="AN216" s="350"/>
      <c r="AO216" s="350"/>
      <c r="AP216" s="351"/>
      <c r="AS216" s="15"/>
    </row>
    <row r="217" spans="1:45" s="15" customFormat="1" ht="20.25" thickTop="1" thickBot="1" x14ac:dyDescent="0.35">
      <c r="R217" s="16"/>
      <c r="S217" s="16"/>
      <c r="T217" s="16"/>
      <c r="U217" s="16"/>
      <c r="V217" s="16"/>
      <c r="W217" s="16"/>
      <c r="X217" s="16"/>
    </row>
    <row r="218" spans="1:45" s="15" customFormat="1" ht="20.25" thickTop="1" thickBot="1" x14ac:dyDescent="0.35">
      <c r="A218" s="339" t="s">
        <v>45</v>
      </c>
      <c r="B218" s="340"/>
      <c r="C218" s="341"/>
      <c r="D218" s="339" t="s">
        <v>46</v>
      </c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1"/>
      <c r="R218" s="342" t="s">
        <v>76</v>
      </c>
      <c r="S218" s="343"/>
      <c r="T218" s="343"/>
      <c r="U218" s="343"/>
      <c r="V218" s="343"/>
      <c r="W218" s="343"/>
      <c r="X218" s="344"/>
      <c r="Y218" s="339" t="s">
        <v>47</v>
      </c>
      <c r="Z218" s="340"/>
      <c r="AA218" s="341"/>
      <c r="AB218" s="339" t="s">
        <v>48</v>
      </c>
      <c r="AC218" s="340"/>
      <c r="AD218" s="341"/>
      <c r="AE218" s="339" t="s">
        <v>49</v>
      </c>
      <c r="AF218" s="340"/>
      <c r="AG218" s="341"/>
      <c r="AH218" s="339" t="s">
        <v>50</v>
      </c>
      <c r="AI218" s="340"/>
      <c r="AJ218" s="341"/>
      <c r="AK218" s="339" t="s">
        <v>51</v>
      </c>
      <c r="AL218" s="340"/>
      <c r="AM218" s="341"/>
      <c r="AN218" s="339" t="s">
        <v>52</v>
      </c>
      <c r="AO218" s="340"/>
      <c r="AP218" s="341"/>
    </row>
    <row r="219" spans="1:45" s="27" customFormat="1" ht="48" thickTop="1" thickBot="1" x14ac:dyDescent="0.75">
      <c r="A219" s="327">
        <f>VLOOKUP(3,'Fase Grupos'!$AM$50:$AP$57,2,FALSE)</f>
        <v>0</v>
      </c>
      <c r="B219" s="328"/>
      <c r="C219" s="329"/>
      <c r="D219" s="330">
        <f>VLOOKUP(3,'Fase Grupos'!$AM$50:$AP$57,3,FALSE)</f>
        <v>0</v>
      </c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2"/>
      <c r="R219" s="333">
        <f>VLOOKUP(3,'Fase Grupos'!$AM$50:$AP$57,4,FALSE)</f>
        <v>0</v>
      </c>
      <c r="S219" s="334"/>
      <c r="T219" s="334"/>
      <c r="U219" s="334"/>
      <c r="V219" s="334"/>
      <c r="W219" s="334"/>
      <c r="X219" s="335"/>
      <c r="Y219" s="336"/>
      <c r="Z219" s="337"/>
      <c r="AA219" s="338"/>
      <c r="AB219" s="336"/>
      <c r="AC219" s="337"/>
      <c r="AD219" s="338"/>
      <c r="AE219" s="336"/>
      <c r="AF219" s="337"/>
      <c r="AG219" s="338"/>
      <c r="AH219" s="336"/>
      <c r="AI219" s="337"/>
      <c r="AJ219" s="338"/>
      <c r="AK219" s="336"/>
      <c r="AL219" s="337"/>
      <c r="AM219" s="338"/>
      <c r="AN219" s="336"/>
      <c r="AO219" s="337"/>
      <c r="AP219" s="338"/>
      <c r="AS219" s="28"/>
    </row>
    <row r="220" spans="1:45" s="27" customFormat="1" ht="48" customHeight="1" thickTop="1" thickBot="1" x14ac:dyDescent="0.75">
      <c r="A220" s="327">
        <f>VLOOKUP(4,'Fase Grupos'!$AM$50:$AP$57,2,FALSE)</f>
        <v>0</v>
      </c>
      <c r="B220" s="328"/>
      <c r="C220" s="329"/>
      <c r="D220" s="330">
        <f>VLOOKUP(4,'Fase Grupos'!$AM$50:$AP$57,3,FALSE)</f>
        <v>0</v>
      </c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2"/>
      <c r="R220" s="333">
        <f>VLOOKUP(4,'Fase Grupos'!$AM$50:$AP$57,4,FALSE)</f>
        <v>0</v>
      </c>
      <c r="S220" s="334"/>
      <c r="T220" s="334"/>
      <c r="U220" s="334"/>
      <c r="V220" s="334"/>
      <c r="W220" s="334"/>
      <c r="X220" s="335"/>
      <c r="Y220" s="336"/>
      <c r="Z220" s="337"/>
      <c r="AA220" s="338"/>
      <c r="AB220" s="336"/>
      <c r="AC220" s="337"/>
      <c r="AD220" s="338"/>
      <c r="AE220" s="336"/>
      <c r="AF220" s="337"/>
      <c r="AG220" s="338"/>
      <c r="AH220" s="336"/>
      <c r="AI220" s="337"/>
      <c r="AJ220" s="338"/>
      <c r="AK220" s="336"/>
      <c r="AL220" s="337"/>
      <c r="AM220" s="338"/>
      <c r="AN220" s="336"/>
      <c r="AO220" s="337"/>
      <c r="AP220" s="338"/>
    </row>
    <row r="221" spans="1:45" s="15" customFormat="1" ht="24" customHeight="1" thickTop="1" x14ac:dyDescent="0.3">
      <c r="R221" s="16"/>
      <c r="S221" s="16"/>
      <c r="T221" s="16"/>
      <c r="U221" s="16"/>
      <c r="V221" s="16"/>
      <c r="W221" s="16"/>
      <c r="X221" s="16"/>
    </row>
    <row r="222" spans="1:45" s="15" customFormat="1" ht="19.5" thickBot="1" x14ac:dyDescent="0.35">
      <c r="A222" s="325" t="s">
        <v>53</v>
      </c>
      <c r="B222" s="325"/>
      <c r="C222" s="325"/>
      <c r="D222" s="325"/>
      <c r="E222" s="325"/>
      <c r="F222" s="29"/>
      <c r="G222" s="29"/>
      <c r="H222" s="19"/>
      <c r="I222" s="19"/>
      <c r="J222" s="19"/>
      <c r="K222" s="19"/>
      <c r="L222" s="19"/>
      <c r="M222" s="19"/>
      <c r="N222" s="19"/>
      <c r="O222" s="19"/>
      <c r="P222" s="19"/>
      <c r="Q222" s="325" t="s">
        <v>54</v>
      </c>
      <c r="R222" s="325"/>
      <c r="S222" s="325"/>
      <c r="T222" s="325"/>
      <c r="U222" s="325"/>
      <c r="V222" s="325"/>
      <c r="W222" s="325"/>
      <c r="X222" s="20"/>
      <c r="Y222" s="29"/>
      <c r="Z222" s="29"/>
      <c r="AA222" s="29"/>
      <c r="AB222" s="19"/>
      <c r="AC222" s="19"/>
      <c r="AD222" s="19"/>
      <c r="AE222" s="19"/>
      <c r="AF222" s="19"/>
      <c r="AG222" s="19"/>
      <c r="AH222" s="19"/>
      <c r="AI222" s="325" t="s">
        <v>55</v>
      </c>
      <c r="AJ222" s="325"/>
      <c r="AK222" s="325"/>
      <c r="AL222" s="326"/>
      <c r="AM222" s="326"/>
      <c r="AN222" s="21" t="s">
        <v>44</v>
      </c>
      <c r="AO222" s="326"/>
      <c r="AP222" s="326"/>
    </row>
    <row r="223" spans="1:45" s="22" customFormat="1" ht="13.5" thickTop="1" x14ac:dyDescent="0.2">
      <c r="R223" s="23"/>
      <c r="S223" s="23"/>
      <c r="T223" s="23"/>
      <c r="U223" s="23"/>
      <c r="V223" s="23"/>
      <c r="W223" s="23"/>
      <c r="X223" s="23"/>
    </row>
    <row r="224" spans="1:45" s="22" customFormat="1" ht="12.75" x14ac:dyDescent="0.2">
      <c r="R224" s="23"/>
      <c r="S224" s="23"/>
      <c r="T224" s="23"/>
      <c r="U224" s="23"/>
      <c r="V224" s="23"/>
      <c r="W224" s="23"/>
      <c r="X224" s="23"/>
    </row>
    <row r="225" spans="1:45" s="24" customFormat="1" ht="36" x14ac:dyDescent="0.55000000000000004">
      <c r="A225" s="352" t="str">
        <f>SORTEIO!A7</f>
        <v>Campeonato Nacional</v>
      </c>
      <c r="B225" s="352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  <c r="AA225" s="352"/>
      <c r="AB225" s="352"/>
      <c r="AC225" s="352"/>
      <c r="AD225" s="352"/>
      <c r="AE225" s="352"/>
      <c r="AF225" s="352"/>
      <c r="AG225" s="352"/>
      <c r="AH225" s="352"/>
      <c r="AI225" s="352"/>
      <c r="AJ225" s="352"/>
      <c r="AK225" s="352"/>
      <c r="AL225" s="352"/>
      <c r="AM225" s="352"/>
      <c r="AN225" s="352"/>
      <c r="AO225" s="352"/>
      <c r="AP225" s="352"/>
    </row>
    <row r="226" spans="1:45" s="25" customFormat="1" ht="26.25" x14ac:dyDescent="0.4">
      <c r="A226" s="353" t="s">
        <v>37</v>
      </c>
      <c r="B226" s="353"/>
      <c r="C226" s="353"/>
      <c r="D226" s="353"/>
      <c r="E226" s="353"/>
      <c r="F226" s="353"/>
      <c r="G226" s="353"/>
      <c r="H226" s="353"/>
      <c r="I226" s="353"/>
      <c r="J226" s="353"/>
      <c r="K226" s="353"/>
      <c r="L226" s="353"/>
      <c r="M226" s="353"/>
      <c r="N226" s="353"/>
      <c r="O226" s="353"/>
      <c r="P226" s="353"/>
      <c r="Q226" s="353"/>
      <c r="R226" s="353"/>
      <c r="S226" s="353"/>
      <c r="T226" s="353"/>
      <c r="U226" s="353"/>
      <c r="V226" s="353"/>
      <c r="W226" s="353"/>
      <c r="X226" s="353"/>
      <c r="Y226" s="353"/>
      <c r="Z226" s="353"/>
      <c r="AA226" s="353"/>
      <c r="AB226" s="353"/>
      <c r="AC226" s="353"/>
      <c r="AD226" s="353"/>
      <c r="AE226" s="353"/>
      <c r="AF226" s="353"/>
      <c r="AG226" s="353"/>
      <c r="AH226" s="353"/>
      <c r="AI226" s="353"/>
      <c r="AJ226" s="353"/>
      <c r="AK226" s="353"/>
      <c r="AL226" s="353"/>
      <c r="AM226" s="353"/>
      <c r="AN226" s="353"/>
      <c r="AO226" s="353"/>
      <c r="AP226" s="353"/>
    </row>
    <row r="227" spans="1:45" s="15" customFormat="1" ht="19.5" thickBot="1" x14ac:dyDescent="0.35">
      <c r="A227" s="354" t="str">
        <f>CONCATENATE(SORTEIO!B12," ",SORTEIO!B14)</f>
        <v>Iniciado Masculino</v>
      </c>
      <c r="B227" s="354"/>
      <c r="C227" s="354"/>
      <c r="D227" s="354"/>
      <c r="E227" s="354"/>
      <c r="F227" s="354"/>
      <c r="G227" s="354"/>
      <c r="H227" s="354"/>
      <c r="I227" s="354"/>
      <c r="J227" s="354"/>
      <c r="K227" s="354"/>
      <c r="L227" s="354"/>
      <c r="M227" s="354"/>
      <c r="N227" s="354"/>
      <c r="R227" s="16"/>
      <c r="S227" s="16"/>
      <c r="T227" s="16"/>
      <c r="U227" s="16"/>
      <c r="V227" s="16"/>
      <c r="W227" s="16"/>
      <c r="X227" s="16"/>
    </row>
    <row r="228" spans="1:45" s="25" customFormat="1" ht="27.75" thickTop="1" thickBot="1" x14ac:dyDescent="0.45">
      <c r="A228" s="355" t="s">
        <v>38</v>
      </c>
      <c r="B228" s="356"/>
      <c r="C228" s="356"/>
      <c r="D228" s="356"/>
      <c r="E228" s="356"/>
      <c r="F228" s="356"/>
      <c r="G228" s="356"/>
      <c r="H228" s="356"/>
      <c r="I228" s="356"/>
      <c r="J228" s="356"/>
      <c r="K228" s="356"/>
      <c r="L228" s="356"/>
      <c r="M228" s="356"/>
      <c r="N228" s="356"/>
      <c r="O228" s="356"/>
      <c r="P228" s="356"/>
      <c r="Q228" s="356"/>
      <c r="R228" s="356"/>
      <c r="S228" s="356"/>
      <c r="T228" s="356"/>
      <c r="U228" s="356"/>
      <c r="V228" s="356"/>
      <c r="W228" s="356"/>
      <c r="X228" s="356"/>
      <c r="Y228" s="356"/>
      <c r="Z228" s="356"/>
      <c r="AA228" s="356"/>
      <c r="AB228" s="356"/>
      <c r="AC228" s="356"/>
      <c r="AD228" s="356"/>
      <c r="AE228" s="356"/>
      <c r="AF228" s="356"/>
      <c r="AG228" s="356"/>
      <c r="AH228" s="356"/>
      <c r="AI228" s="356"/>
      <c r="AJ228" s="356"/>
      <c r="AK228" s="356"/>
      <c r="AL228" s="356"/>
      <c r="AM228" s="356"/>
      <c r="AN228" s="356"/>
      <c r="AO228" s="356"/>
      <c r="AP228" s="357"/>
    </row>
    <row r="229" spans="1:45" s="15" customFormat="1" ht="20.25" thickTop="1" thickBot="1" x14ac:dyDescent="0.35">
      <c r="A229" s="339" t="s">
        <v>39</v>
      </c>
      <c r="B229" s="340"/>
      <c r="C229" s="340"/>
      <c r="D229" s="340"/>
      <c r="E229" s="340"/>
      <c r="F229" s="340"/>
      <c r="G229" s="341"/>
      <c r="H229" s="339" t="s">
        <v>40</v>
      </c>
      <c r="I229" s="340"/>
      <c r="J229" s="340"/>
      <c r="K229" s="340"/>
      <c r="L229" s="340"/>
      <c r="M229" s="340"/>
      <c r="N229" s="341"/>
      <c r="O229" s="339" t="s">
        <v>41</v>
      </c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0"/>
      <c r="AB229" s="341"/>
      <c r="AC229" s="339" t="s">
        <v>42</v>
      </c>
      <c r="AD229" s="340"/>
      <c r="AE229" s="340"/>
      <c r="AF229" s="340"/>
      <c r="AG229" s="340"/>
      <c r="AH229" s="340"/>
      <c r="AI229" s="341"/>
      <c r="AJ229" s="339" t="s">
        <v>43</v>
      </c>
      <c r="AK229" s="340"/>
      <c r="AL229" s="340"/>
      <c r="AM229" s="340"/>
      <c r="AN229" s="340"/>
      <c r="AO229" s="340"/>
      <c r="AP229" s="341"/>
    </row>
    <row r="230" spans="1:45" s="26" customFormat="1" ht="63" thickTop="1" thickBot="1" x14ac:dyDescent="0.95">
      <c r="A230" s="345">
        <v>5</v>
      </c>
      <c r="B230" s="346"/>
      <c r="C230" s="346"/>
      <c r="D230" s="346"/>
      <c r="E230" s="346"/>
      <c r="F230" s="346"/>
      <c r="G230" s="347"/>
      <c r="H230" s="345" t="s">
        <v>0</v>
      </c>
      <c r="I230" s="346"/>
      <c r="J230" s="346"/>
      <c r="K230" s="346"/>
      <c r="L230" s="346"/>
      <c r="M230" s="346"/>
      <c r="N230" s="347"/>
      <c r="O230" s="348"/>
      <c r="P230" s="346"/>
      <c r="Q230" s="346"/>
      <c r="R230" s="346"/>
      <c r="S230" s="346"/>
      <c r="T230" s="346"/>
      <c r="U230" s="346"/>
      <c r="V230" s="346"/>
      <c r="W230" s="346"/>
      <c r="X230" s="18" t="s">
        <v>44</v>
      </c>
      <c r="Y230" s="346"/>
      <c r="Z230" s="346"/>
      <c r="AA230" s="346"/>
      <c r="AB230" s="347"/>
      <c r="AC230" s="349"/>
      <c r="AD230" s="350"/>
      <c r="AE230" s="350"/>
      <c r="AF230" s="350"/>
      <c r="AG230" s="350"/>
      <c r="AH230" s="350"/>
      <c r="AI230" s="351"/>
      <c r="AJ230" s="349"/>
      <c r="AK230" s="350"/>
      <c r="AL230" s="350"/>
      <c r="AM230" s="350"/>
      <c r="AN230" s="350"/>
      <c r="AO230" s="350"/>
      <c r="AP230" s="351"/>
      <c r="AS230" s="15"/>
    </row>
    <row r="231" spans="1:45" s="15" customFormat="1" ht="20.25" thickTop="1" thickBot="1" x14ac:dyDescent="0.35">
      <c r="R231" s="16"/>
      <c r="S231" s="16"/>
      <c r="T231" s="16"/>
      <c r="U231" s="16"/>
      <c r="V231" s="16"/>
      <c r="W231" s="16"/>
      <c r="X231" s="16"/>
    </row>
    <row r="232" spans="1:45" s="15" customFormat="1" ht="20.25" thickTop="1" thickBot="1" x14ac:dyDescent="0.35">
      <c r="A232" s="339" t="s">
        <v>45</v>
      </c>
      <c r="B232" s="340"/>
      <c r="C232" s="341"/>
      <c r="D232" s="339" t="s">
        <v>46</v>
      </c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1"/>
      <c r="R232" s="342" t="s">
        <v>76</v>
      </c>
      <c r="S232" s="343"/>
      <c r="T232" s="343"/>
      <c r="U232" s="343"/>
      <c r="V232" s="343"/>
      <c r="W232" s="343"/>
      <c r="X232" s="344"/>
      <c r="Y232" s="339" t="s">
        <v>47</v>
      </c>
      <c r="Z232" s="340"/>
      <c r="AA232" s="341"/>
      <c r="AB232" s="339" t="s">
        <v>48</v>
      </c>
      <c r="AC232" s="340"/>
      <c r="AD232" s="341"/>
      <c r="AE232" s="339" t="s">
        <v>49</v>
      </c>
      <c r="AF232" s="340"/>
      <c r="AG232" s="341"/>
      <c r="AH232" s="339" t="s">
        <v>50</v>
      </c>
      <c r="AI232" s="340"/>
      <c r="AJ232" s="341"/>
      <c r="AK232" s="339" t="s">
        <v>51</v>
      </c>
      <c r="AL232" s="340"/>
      <c r="AM232" s="341"/>
      <c r="AN232" s="339" t="s">
        <v>52</v>
      </c>
      <c r="AO232" s="340"/>
      <c r="AP232" s="341"/>
    </row>
    <row r="233" spans="1:45" s="27" customFormat="1" ht="48" thickTop="1" thickBot="1" x14ac:dyDescent="0.75">
      <c r="A233" s="327">
        <f>VLOOKUP(1,'Fase Grupos'!$AM$50:$AP$57,2,FALSE)</f>
        <v>0</v>
      </c>
      <c r="B233" s="328"/>
      <c r="C233" s="329"/>
      <c r="D233" s="330">
        <f>VLOOKUP(1,'Fase Grupos'!$AM$50:$AP$57,3,FALSE)</f>
        <v>0</v>
      </c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  <c r="O233" s="331"/>
      <c r="P233" s="331"/>
      <c r="Q233" s="332"/>
      <c r="R233" s="333">
        <f>VLOOKUP(1,'Fase Grupos'!$AM$50:$AP$57,4,FALSE)</f>
        <v>0</v>
      </c>
      <c r="S233" s="334"/>
      <c r="T233" s="334"/>
      <c r="U233" s="334"/>
      <c r="V233" s="334"/>
      <c r="W233" s="334"/>
      <c r="X233" s="335"/>
      <c r="Y233" s="336"/>
      <c r="Z233" s="337"/>
      <c r="AA233" s="338"/>
      <c r="AB233" s="336"/>
      <c r="AC233" s="337"/>
      <c r="AD233" s="338"/>
      <c r="AE233" s="336"/>
      <c r="AF233" s="337"/>
      <c r="AG233" s="338"/>
      <c r="AH233" s="336"/>
      <c r="AI233" s="337"/>
      <c r="AJ233" s="338"/>
      <c r="AK233" s="336"/>
      <c r="AL233" s="337"/>
      <c r="AM233" s="338"/>
      <c r="AN233" s="336"/>
      <c r="AO233" s="337"/>
      <c r="AP233" s="338"/>
      <c r="AS233" s="28"/>
    </row>
    <row r="234" spans="1:45" s="27" customFormat="1" ht="48" customHeight="1" thickTop="1" thickBot="1" x14ac:dyDescent="0.75">
      <c r="A234" s="327">
        <f>VLOOKUP(4,'Fase Grupos'!$AM$50:$AP$57,2,FALSE)</f>
        <v>0</v>
      </c>
      <c r="B234" s="328"/>
      <c r="C234" s="329"/>
      <c r="D234" s="330">
        <f>VLOOKUP(4,'Fase Grupos'!$AM$50:$AP$57,3,FALSE)</f>
        <v>0</v>
      </c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  <c r="O234" s="331"/>
      <c r="P234" s="331"/>
      <c r="Q234" s="332"/>
      <c r="R234" s="333">
        <f>VLOOKUP(4,'Fase Grupos'!$AM$50:$AP$57,4,FALSE)</f>
        <v>0</v>
      </c>
      <c r="S234" s="334"/>
      <c r="T234" s="334"/>
      <c r="U234" s="334"/>
      <c r="V234" s="334"/>
      <c r="W234" s="334"/>
      <c r="X234" s="335"/>
      <c r="Y234" s="336"/>
      <c r="Z234" s="337"/>
      <c r="AA234" s="338"/>
      <c r="AB234" s="336"/>
      <c r="AC234" s="337"/>
      <c r="AD234" s="338"/>
      <c r="AE234" s="336"/>
      <c r="AF234" s="337"/>
      <c r="AG234" s="338"/>
      <c r="AH234" s="336"/>
      <c r="AI234" s="337"/>
      <c r="AJ234" s="338"/>
      <c r="AK234" s="336"/>
      <c r="AL234" s="337"/>
      <c r="AM234" s="338"/>
      <c r="AN234" s="336"/>
      <c r="AO234" s="337"/>
      <c r="AP234" s="338"/>
    </row>
    <row r="235" spans="1:45" s="15" customFormat="1" ht="24" customHeight="1" thickTop="1" x14ac:dyDescent="0.3">
      <c r="R235" s="16"/>
      <c r="S235" s="16"/>
      <c r="T235" s="16"/>
      <c r="U235" s="16"/>
      <c r="V235" s="16"/>
      <c r="W235" s="16"/>
      <c r="X235" s="16"/>
    </row>
    <row r="236" spans="1:45" s="15" customFormat="1" ht="19.5" thickBot="1" x14ac:dyDescent="0.35">
      <c r="A236" s="325" t="s">
        <v>53</v>
      </c>
      <c r="B236" s="325"/>
      <c r="C236" s="325"/>
      <c r="D236" s="325"/>
      <c r="E236" s="325"/>
      <c r="F236" s="29"/>
      <c r="G236" s="29"/>
      <c r="H236" s="19"/>
      <c r="I236" s="19"/>
      <c r="J236" s="19"/>
      <c r="K236" s="19"/>
      <c r="L236" s="19"/>
      <c r="M236" s="19"/>
      <c r="N236" s="19"/>
      <c r="O236" s="19"/>
      <c r="P236" s="19"/>
      <c r="Q236" s="325" t="s">
        <v>54</v>
      </c>
      <c r="R236" s="325"/>
      <c r="S236" s="325"/>
      <c r="T236" s="325"/>
      <c r="U236" s="325"/>
      <c r="V236" s="325"/>
      <c r="W236" s="325"/>
      <c r="X236" s="20"/>
      <c r="Y236" s="29"/>
      <c r="Z236" s="29"/>
      <c r="AA236" s="29"/>
      <c r="AB236" s="19"/>
      <c r="AC236" s="19"/>
      <c r="AD236" s="19"/>
      <c r="AE236" s="19"/>
      <c r="AF236" s="19"/>
      <c r="AG236" s="19"/>
      <c r="AH236" s="19"/>
      <c r="AI236" s="325" t="s">
        <v>55</v>
      </c>
      <c r="AJ236" s="325"/>
      <c r="AK236" s="325"/>
      <c r="AL236" s="326"/>
      <c r="AM236" s="326"/>
      <c r="AN236" s="21" t="s">
        <v>44</v>
      </c>
      <c r="AO236" s="326"/>
      <c r="AP236" s="326"/>
    </row>
    <row r="237" spans="1:45" s="22" customFormat="1" ht="13.5" thickTop="1" x14ac:dyDescent="0.2">
      <c r="R237" s="23"/>
      <c r="S237" s="23"/>
      <c r="T237" s="23"/>
      <c r="U237" s="23"/>
      <c r="V237" s="23"/>
      <c r="W237" s="23"/>
      <c r="X237" s="23"/>
    </row>
    <row r="238" spans="1:45" s="22" customFormat="1" ht="12.75" x14ac:dyDescent="0.2">
      <c r="R238" s="23"/>
      <c r="S238" s="23"/>
      <c r="T238" s="23"/>
      <c r="U238" s="23"/>
      <c r="V238" s="23"/>
      <c r="W238" s="23"/>
      <c r="X238" s="23"/>
    </row>
    <row r="239" spans="1:45" s="24" customFormat="1" ht="36" x14ac:dyDescent="0.55000000000000004">
      <c r="A239" s="352" t="str">
        <f>SORTEIO!A7</f>
        <v>Campeonato Nacional</v>
      </c>
      <c r="B239" s="352"/>
      <c r="C239" s="352"/>
      <c r="D239" s="352"/>
      <c r="E239" s="352"/>
      <c r="F239" s="352"/>
      <c r="G239" s="352"/>
      <c r="H239" s="352"/>
      <c r="I239" s="352"/>
      <c r="J239" s="352"/>
      <c r="K239" s="352"/>
      <c r="L239" s="352"/>
      <c r="M239" s="352"/>
      <c r="N239" s="352"/>
      <c r="O239" s="352"/>
      <c r="P239" s="352"/>
      <c r="Q239" s="352"/>
      <c r="R239" s="352"/>
      <c r="S239" s="352"/>
      <c r="T239" s="352"/>
      <c r="U239" s="352"/>
      <c r="V239" s="352"/>
      <c r="W239" s="352"/>
      <c r="X239" s="352"/>
      <c r="Y239" s="352"/>
      <c r="Z239" s="352"/>
      <c r="AA239" s="352"/>
      <c r="AB239" s="352"/>
      <c r="AC239" s="352"/>
      <c r="AD239" s="352"/>
      <c r="AE239" s="352"/>
      <c r="AF239" s="352"/>
      <c r="AG239" s="352"/>
      <c r="AH239" s="352"/>
      <c r="AI239" s="352"/>
      <c r="AJ239" s="352"/>
      <c r="AK239" s="352"/>
      <c r="AL239" s="352"/>
      <c r="AM239" s="352"/>
      <c r="AN239" s="352"/>
      <c r="AO239" s="352"/>
      <c r="AP239" s="352"/>
    </row>
    <row r="240" spans="1:45" s="25" customFormat="1" ht="26.25" x14ac:dyDescent="0.4">
      <c r="A240" s="353" t="s">
        <v>37</v>
      </c>
      <c r="B240" s="353"/>
      <c r="C240" s="353"/>
      <c r="D240" s="353"/>
      <c r="E240" s="353"/>
      <c r="F240" s="353"/>
      <c r="G240" s="353"/>
      <c r="H240" s="353"/>
      <c r="I240" s="353"/>
      <c r="J240" s="353"/>
      <c r="K240" s="353"/>
      <c r="L240" s="353"/>
      <c r="M240" s="353"/>
      <c r="N240" s="353"/>
      <c r="O240" s="353"/>
      <c r="P240" s="353"/>
      <c r="Q240" s="353"/>
      <c r="R240" s="353"/>
      <c r="S240" s="353"/>
      <c r="T240" s="353"/>
      <c r="U240" s="353"/>
      <c r="V240" s="353"/>
      <c r="W240" s="353"/>
      <c r="X240" s="353"/>
      <c r="Y240" s="353"/>
      <c r="Z240" s="353"/>
      <c r="AA240" s="353"/>
      <c r="AB240" s="353"/>
      <c r="AC240" s="353"/>
      <c r="AD240" s="353"/>
      <c r="AE240" s="353"/>
      <c r="AF240" s="353"/>
      <c r="AG240" s="353"/>
      <c r="AH240" s="353"/>
      <c r="AI240" s="353"/>
      <c r="AJ240" s="353"/>
      <c r="AK240" s="353"/>
      <c r="AL240" s="353"/>
      <c r="AM240" s="353"/>
      <c r="AN240" s="353"/>
      <c r="AO240" s="353"/>
      <c r="AP240" s="353"/>
    </row>
    <row r="241" spans="1:45" s="15" customFormat="1" ht="19.5" thickBot="1" x14ac:dyDescent="0.35">
      <c r="A241" s="354" t="str">
        <f>CONCATENATE(SORTEIO!B12," ",SORTEIO!B14)</f>
        <v>Iniciado Masculino</v>
      </c>
      <c r="B241" s="354"/>
      <c r="C241" s="354"/>
      <c r="D241" s="354"/>
      <c r="E241" s="354"/>
      <c r="F241" s="354"/>
      <c r="G241" s="354"/>
      <c r="H241" s="354"/>
      <c r="I241" s="354"/>
      <c r="J241" s="354"/>
      <c r="K241" s="354"/>
      <c r="L241" s="354"/>
      <c r="M241" s="354"/>
      <c r="N241" s="354"/>
      <c r="R241" s="16"/>
      <c r="S241" s="16"/>
      <c r="T241" s="16"/>
      <c r="U241" s="16"/>
      <c r="V241" s="16"/>
      <c r="W241" s="16"/>
      <c r="X241" s="16"/>
    </row>
    <row r="242" spans="1:45" s="25" customFormat="1" ht="27.75" thickTop="1" thickBot="1" x14ac:dyDescent="0.45">
      <c r="A242" s="355" t="s">
        <v>38</v>
      </c>
      <c r="B242" s="356"/>
      <c r="C242" s="356"/>
      <c r="D242" s="356"/>
      <c r="E242" s="356"/>
      <c r="F242" s="356"/>
      <c r="G242" s="356"/>
      <c r="H242" s="356"/>
      <c r="I242" s="356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  <c r="T242" s="356"/>
      <c r="U242" s="356"/>
      <c r="V242" s="356"/>
      <c r="W242" s="356"/>
      <c r="X242" s="356"/>
      <c r="Y242" s="356"/>
      <c r="Z242" s="356"/>
      <c r="AA242" s="356"/>
      <c r="AB242" s="356"/>
      <c r="AC242" s="356"/>
      <c r="AD242" s="356"/>
      <c r="AE242" s="356"/>
      <c r="AF242" s="356"/>
      <c r="AG242" s="356"/>
      <c r="AH242" s="356"/>
      <c r="AI242" s="356"/>
      <c r="AJ242" s="356"/>
      <c r="AK242" s="356"/>
      <c r="AL242" s="356"/>
      <c r="AM242" s="356"/>
      <c r="AN242" s="356"/>
      <c r="AO242" s="356"/>
      <c r="AP242" s="357"/>
    </row>
    <row r="243" spans="1:45" s="15" customFormat="1" ht="20.25" thickTop="1" thickBot="1" x14ac:dyDescent="0.35">
      <c r="A243" s="339" t="s">
        <v>39</v>
      </c>
      <c r="B243" s="340"/>
      <c r="C243" s="340"/>
      <c r="D243" s="340"/>
      <c r="E243" s="340"/>
      <c r="F243" s="340"/>
      <c r="G243" s="341"/>
      <c r="H243" s="339" t="s">
        <v>40</v>
      </c>
      <c r="I243" s="340"/>
      <c r="J243" s="340"/>
      <c r="K243" s="340"/>
      <c r="L243" s="340"/>
      <c r="M243" s="340"/>
      <c r="N243" s="341"/>
      <c r="O243" s="339" t="s">
        <v>41</v>
      </c>
      <c r="P243" s="340"/>
      <c r="Q243" s="340"/>
      <c r="R243" s="340"/>
      <c r="S243" s="340"/>
      <c r="T243" s="340"/>
      <c r="U243" s="340"/>
      <c r="V243" s="340"/>
      <c r="W243" s="340"/>
      <c r="X243" s="340"/>
      <c r="Y243" s="340"/>
      <c r="Z243" s="340"/>
      <c r="AA243" s="340"/>
      <c r="AB243" s="341"/>
      <c r="AC243" s="339" t="s">
        <v>42</v>
      </c>
      <c r="AD243" s="340"/>
      <c r="AE243" s="340"/>
      <c r="AF243" s="340"/>
      <c r="AG243" s="340"/>
      <c r="AH243" s="340"/>
      <c r="AI243" s="341"/>
      <c r="AJ243" s="339" t="s">
        <v>43</v>
      </c>
      <c r="AK243" s="340"/>
      <c r="AL243" s="340"/>
      <c r="AM243" s="340"/>
      <c r="AN243" s="340"/>
      <c r="AO243" s="340"/>
      <c r="AP243" s="341"/>
    </row>
    <row r="244" spans="1:45" s="26" customFormat="1" ht="63" thickTop="1" thickBot="1" x14ac:dyDescent="0.95">
      <c r="A244" s="345">
        <v>6</v>
      </c>
      <c r="B244" s="346"/>
      <c r="C244" s="346"/>
      <c r="D244" s="346"/>
      <c r="E244" s="346"/>
      <c r="F244" s="346"/>
      <c r="G244" s="347"/>
      <c r="H244" s="345" t="s">
        <v>0</v>
      </c>
      <c r="I244" s="346"/>
      <c r="J244" s="346"/>
      <c r="K244" s="346"/>
      <c r="L244" s="346"/>
      <c r="M244" s="346"/>
      <c r="N244" s="347"/>
      <c r="O244" s="348"/>
      <c r="P244" s="346"/>
      <c r="Q244" s="346"/>
      <c r="R244" s="346"/>
      <c r="S244" s="346"/>
      <c r="T244" s="346"/>
      <c r="U244" s="346"/>
      <c r="V244" s="346"/>
      <c r="W244" s="346"/>
      <c r="X244" s="18" t="s">
        <v>44</v>
      </c>
      <c r="Y244" s="346"/>
      <c r="Z244" s="346"/>
      <c r="AA244" s="346"/>
      <c r="AB244" s="347"/>
      <c r="AC244" s="349"/>
      <c r="AD244" s="350"/>
      <c r="AE244" s="350"/>
      <c r="AF244" s="350"/>
      <c r="AG244" s="350"/>
      <c r="AH244" s="350"/>
      <c r="AI244" s="351"/>
      <c r="AJ244" s="349"/>
      <c r="AK244" s="350"/>
      <c r="AL244" s="350"/>
      <c r="AM244" s="350"/>
      <c r="AN244" s="350"/>
      <c r="AO244" s="350"/>
      <c r="AP244" s="351"/>
      <c r="AS244" s="15"/>
    </row>
    <row r="245" spans="1:45" s="15" customFormat="1" ht="20.25" thickTop="1" thickBot="1" x14ac:dyDescent="0.35">
      <c r="R245" s="16"/>
      <c r="S245" s="16"/>
      <c r="T245" s="16"/>
      <c r="U245" s="16"/>
      <c r="V245" s="16"/>
      <c r="W245" s="16"/>
      <c r="X245" s="16"/>
    </row>
    <row r="246" spans="1:45" s="15" customFormat="1" ht="20.25" thickTop="1" thickBot="1" x14ac:dyDescent="0.35">
      <c r="A246" s="339" t="s">
        <v>45</v>
      </c>
      <c r="B246" s="340"/>
      <c r="C246" s="341"/>
      <c r="D246" s="339" t="s">
        <v>46</v>
      </c>
      <c r="E246" s="340"/>
      <c r="F246" s="340"/>
      <c r="G246" s="340"/>
      <c r="H246" s="340"/>
      <c r="I246" s="340"/>
      <c r="J246" s="340"/>
      <c r="K246" s="340"/>
      <c r="L246" s="340"/>
      <c r="M246" s="340"/>
      <c r="N246" s="340"/>
      <c r="O246" s="340"/>
      <c r="P246" s="340"/>
      <c r="Q246" s="341"/>
      <c r="R246" s="342" t="s">
        <v>76</v>
      </c>
      <c r="S246" s="343"/>
      <c r="T246" s="343"/>
      <c r="U246" s="343"/>
      <c r="V246" s="343"/>
      <c r="W246" s="343"/>
      <c r="X246" s="344"/>
      <c r="Y246" s="339" t="s">
        <v>47</v>
      </c>
      <c r="Z246" s="340"/>
      <c r="AA246" s="341"/>
      <c r="AB246" s="339" t="s">
        <v>48</v>
      </c>
      <c r="AC246" s="340"/>
      <c r="AD246" s="341"/>
      <c r="AE246" s="339" t="s">
        <v>49</v>
      </c>
      <c r="AF246" s="340"/>
      <c r="AG246" s="341"/>
      <c r="AH246" s="339" t="s">
        <v>50</v>
      </c>
      <c r="AI246" s="340"/>
      <c r="AJ246" s="341"/>
      <c r="AK246" s="339" t="s">
        <v>51</v>
      </c>
      <c r="AL246" s="340"/>
      <c r="AM246" s="341"/>
      <c r="AN246" s="339" t="s">
        <v>52</v>
      </c>
      <c r="AO246" s="340"/>
      <c r="AP246" s="341"/>
    </row>
    <row r="247" spans="1:45" s="27" customFormat="1" ht="48" thickTop="1" thickBot="1" x14ac:dyDescent="0.75">
      <c r="A247" s="327">
        <f>VLOOKUP(2,'Fase Grupos'!$AM$50:$AP$57,2,FALSE)</f>
        <v>0</v>
      </c>
      <c r="B247" s="328"/>
      <c r="C247" s="329"/>
      <c r="D247" s="330">
        <f>VLOOKUP(2,'Fase Grupos'!$AM$50:$AP$57,3,FALSE)</f>
        <v>0</v>
      </c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2"/>
      <c r="R247" s="333">
        <f>VLOOKUP(2,'Fase Grupos'!$AM$50:$AP$57,4,FALSE)</f>
        <v>0</v>
      </c>
      <c r="S247" s="334"/>
      <c r="T247" s="334"/>
      <c r="U247" s="334"/>
      <c r="V247" s="334"/>
      <c r="W247" s="334"/>
      <c r="X247" s="335"/>
      <c r="Y247" s="336"/>
      <c r="Z247" s="337"/>
      <c r="AA247" s="338"/>
      <c r="AB247" s="336"/>
      <c r="AC247" s="337"/>
      <c r="AD247" s="338"/>
      <c r="AE247" s="336"/>
      <c r="AF247" s="337"/>
      <c r="AG247" s="338"/>
      <c r="AH247" s="336"/>
      <c r="AI247" s="337"/>
      <c r="AJ247" s="338"/>
      <c r="AK247" s="336"/>
      <c r="AL247" s="337"/>
      <c r="AM247" s="338"/>
      <c r="AN247" s="336"/>
      <c r="AO247" s="337"/>
      <c r="AP247" s="338"/>
      <c r="AS247" s="28"/>
    </row>
    <row r="248" spans="1:45" s="27" customFormat="1" ht="48" customHeight="1" thickTop="1" thickBot="1" x14ac:dyDescent="0.75">
      <c r="A248" s="327">
        <f>VLOOKUP(3,'Fase Grupos'!$AM$50:$AP$57,2,FALSE)</f>
        <v>0</v>
      </c>
      <c r="B248" s="328"/>
      <c r="C248" s="329"/>
      <c r="D248" s="330">
        <f>VLOOKUP(3,'Fase Grupos'!$AM$50:$AP$57,3,FALSE)</f>
        <v>0</v>
      </c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2"/>
      <c r="R248" s="333">
        <f>VLOOKUP(3,'Fase Grupos'!$AM$50:$AP$57,4,FALSE)</f>
        <v>0</v>
      </c>
      <c r="S248" s="334"/>
      <c r="T248" s="334"/>
      <c r="U248" s="334"/>
      <c r="V248" s="334"/>
      <c r="W248" s="334"/>
      <c r="X248" s="335"/>
      <c r="Y248" s="336"/>
      <c r="Z248" s="337"/>
      <c r="AA248" s="338"/>
      <c r="AB248" s="336"/>
      <c r="AC248" s="337"/>
      <c r="AD248" s="338"/>
      <c r="AE248" s="336"/>
      <c r="AF248" s="337"/>
      <c r="AG248" s="338"/>
      <c r="AH248" s="336"/>
      <c r="AI248" s="337"/>
      <c r="AJ248" s="338"/>
      <c r="AK248" s="336"/>
      <c r="AL248" s="337"/>
      <c r="AM248" s="338"/>
      <c r="AN248" s="336"/>
      <c r="AO248" s="337"/>
      <c r="AP248" s="338"/>
    </row>
    <row r="249" spans="1:45" s="15" customFormat="1" ht="24" customHeight="1" thickTop="1" x14ac:dyDescent="0.3">
      <c r="R249" s="16"/>
      <c r="S249" s="16"/>
      <c r="T249" s="16"/>
      <c r="U249" s="16"/>
      <c r="V249" s="16"/>
      <c r="W249" s="16"/>
      <c r="X249" s="16"/>
    </row>
    <row r="250" spans="1:45" s="15" customFormat="1" ht="19.5" thickBot="1" x14ac:dyDescent="0.35">
      <c r="A250" s="325" t="s">
        <v>53</v>
      </c>
      <c r="B250" s="325"/>
      <c r="C250" s="325"/>
      <c r="D250" s="325"/>
      <c r="E250" s="325"/>
      <c r="F250" s="29"/>
      <c r="G250" s="29"/>
      <c r="H250" s="19"/>
      <c r="I250" s="19"/>
      <c r="J250" s="19"/>
      <c r="K250" s="19"/>
      <c r="L250" s="19"/>
      <c r="M250" s="19"/>
      <c r="N250" s="19"/>
      <c r="O250" s="19"/>
      <c r="P250" s="19"/>
      <c r="Q250" s="325" t="s">
        <v>54</v>
      </c>
      <c r="R250" s="325"/>
      <c r="S250" s="325"/>
      <c r="T250" s="325"/>
      <c r="U250" s="325"/>
      <c r="V250" s="325"/>
      <c r="W250" s="325"/>
      <c r="X250" s="20"/>
      <c r="Y250" s="29"/>
      <c r="Z250" s="29"/>
      <c r="AA250" s="29"/>
      <c r="AB250" s="19"/>
      <c r="AC250" s="19"/>
      <c r="AD250" s="19"/>
      <c r="AE250" s="19"/>
      <c r="AF250" s="19"/>
      <c r="AG250" s="19"/>
      <c r="AH250" s="19"/>
      <c r="AI250" s="325" t="s">
        <v>55</v>
      </c>
      <c r="AJ250" s="325"/>
      <c r="AK250" s="325"/>
      <c r="AL250" s="326"/>
      <c r="AM250" s="326"/>
      <c r="AN250" s="21" t="s">
        <v>44</v>
      </c>
      <c r="AO250" s="326"/>
      <c r="AP250" s="326"/>
    </row>
    <row r="251" spans="1:45" s="22" customFormat="1" ht="13.5" thickTop="1" x14ac:dyDescent="0.2">
      <c r="R251" s="23"/>
      <c r="S251" s="23"/>
      <c r="T251" s="23"/>
      <c r="U251" s="23"/>
      <c r="V251" s="23"/>
      <c r="W251" s="23"/>
      <c r="X251" s="23"/>
    </row>
    <row r="252" spans="1:45" s="22" customFormat="1" ht="12.75" x14ac:dyDescent="0.2">
      <c r="R252" s="23"/>
      <c r="S252" s="23"/>
      <c r="T252" s="23"/>
      <c r="U252" s="23"/>
      <c r="V252" s="23"/>
      <c r="W252" s="23"/>
      <c r="X252" s="23"/>
    </row>
    <row r="253" spans="1:45" s="24" customFormat="1" ht="36" x14ac:dyDescent="0.55000000000000004">
      <c r="A253" s="352" t="str">
        <f>SORTEIO!A7</f>
        <v>Campeonato Nacional</v>
      </c>
      <c r="B253" s="352"/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  <c r="Z253" s="352"/>
      <c r="AA253" s="352"/>
      <c r="AB253" s="352"/>
      <c r="AC253" s="352"/>
      <c r="AD253" s="352"/>
      <c r="AE253" s="352"/>
      <c r="AF253" s="352"/>
      <c r="AG253" s="352"/>
      <c r="AH253" s="352"/>
      <c r="AI253" s="352"/>
      <c r="AJ253" s="352"/>
      <c r="AK253" s="352"/>
      <c r="AL253" s="352"/>
      <c r="AM253" s="352"/>
      <c r="AN253" s="352"/>
      <c r="AO253" s="352"/>
      <c r="AP253" s="352"/>
    </row>
    <row r="254" spans="1:45" s="25" customFormat="1" ht="26.25" x14ac:dyDescent="0.4">
      <c r="A254" s="353" t="s">
        <v>37</v>
      </c>
      <c r="B254" s="353"/>
      <c r="C254" s="353"/>
      <c r="D254" s="353"/>
      <c r="E254" s="353"/>
      <c r="F254" s="353"/>
      <c r="G254" s="353"/>
      <c r="H254" s="353"/>
      <c r="I254" s="353"/>
      <c r="J254" s="353"/>
      <c r="K254" s="353"/>
      <c r="L254" s="353"/>
      <c r="M254" s="353"/>
      <c r="N254" s="353"/>
      <c r="O254" s="353"/>
      <c r="P254" s="353"/>
      <c r="Q254" s="353"/>
      <c r="R254" s="353"/>
      <c r="S254" s="353"/>
      <c r="T254" s="353"/>
      <c r="U254" s="353"/>
      <c r="V254" s="353"/>
      <c r="W254" s="353"/>
      <c r="X254" s="353"/>
      <c r="Y254" s="353"/>
      <c r="Z254" s="353"/>
      <c r="AA254" s="353"/>
      <c r="AB254" s="353"/>
      <c r="AC254" s="353"/>
      <c r="AD254" s="353"/>
      <c r="AE254" s="353"/>
      <c r="AF254" s="353"/>
      <c r="AG254" s="353"/>
      <c r="AH254" s="353"/>
      <c r="AI254" s="353"/>
      <c r="AJ254" s="353"/>
      <c r="AK254" s="353"/>
      <c r="AL254" s="353"/>
      <c r="AM254" s="353"/>
      <c r="AN254" s="353"/>
      <c r="AO254" s="353"/>
      <c r="AP254" s="353"/>
    </row>
    <row r="255" spans="1:45" s="15" customFormat="1" ht="19.5" thickBot="1" x14ac:dyDescent="0.35">
      <c r="A255" s="354" t="str">
        <f>CONCATENATE(SORTEIO!B12," ",SORTEIO!B14)</f>
        <v>Iniciado Masculino</v>
      </c>
      <c r="B255" s="354"/>
      <c r="C255" s="354"/>
      <c r="D255" s="354"/>
      <c r="E255" s="354"/>
      <c r="F255" s="354"/>
      <c r="G255" s="354"/>
      <c r="H255" s="354"/>
      <c r="I255" s="354"/>
      <c r="J255" s="354"/>
      <c r="K255" s="354"/>
      <c r="L255" s="354"/>
      <c r="M255" s="354"/>
      <c r="N255" s="354"/>
      <c r="R255" s="16"/>
      <c r="S255" s="16"/>
      <c r="T255" s="16"/>
      <c r="U255" s="16"/>
      <c r="V255" s="16"/>
      <c r="W255" s="16"/>
      <c r="X255" s="16"/>
    </row>
    <row r="256" spans="1:45" s="25" customFormat="1" ht="27.75" thickTop="1" thickBot="1" x14ac:dyDescent="0.45">
      <c r="A256" s="355" t="s">
        <v>38</v>
      </c>
      <c r="B256" s="356"/>
      <c r="C256" s="356"/>
      <c r="D256" s="356"/>
      <c r="E256" s="356"/>
      <c r="F256" s="356"/>
      <c r="G256" s="356"/>
      <c r="H256" s="356"/>
      <c r="I256" s="356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  <c r="T256" s="356"/>
      <c r="U256" s="356"/>
      <c r="V256" s="356"/>
      <c r="W256" s="356"/>
      <c r="X256" s="356"/>
      <c r="Y256" s="356"/>
      <c r="Z256" s="356"/>
      <c r="AA256" s="356"/>
      <c r="AB256" s="356"/>
      <c r="AC256" s="356"/>
      <c r="AD256" s="356"/>
      <c r="AE256" s="356"/>
      <c r="AF256" s="356"/>
      <c r="AG256" s="356"/>
      <c r="AH256" s="356"/>
      <c r="AI256" s="356"/>
      <c r="AJ256" s="356"/>
      <c r="AK256" s="356"/>
      <c r="AL256" s="356"/>
      <c r="AM256" s="356"/>
      <c r="AN256" s="356"/>
      <c r="AO256" s="356"/>
      <c r="AP256" s="357"/>
    </row>
    <row r="257" spans="1:45" s="15" customFormat="1" ht="20.25" thickTop="1" thickBot="1" x14ac:dyDescent="0.35">
      <c r="A257" s="339" t="s">
        <v>39</v>
      </c>
      <c r="B257" s="340"/>
      <c r="C257" s="340"/>
      <c r="D257" s="340"/>
      <c r="E257" s="340"/>
      <c r="F257" s="340"/>
      <c r="G257" s="341"/>
      <c r="H257" s="339" t="s">
        <v>40</v>
      </c>
      <c r="I257" s="340"/>
      <c r="J257" s="340"/>
      <c r="K257" s="340"/>
      <c r="L257" s="340"/>
      <c r="M257" s="340"/>
      <c r="N257" s="341"/>
      <c r="O257" s="339" t="s">
        <v>41</v>
      </c>
      <c r="P257" s="340"/>
      <c r="Q257" s="340"/>
      <c r="R257" s="340"/>
      <c r="S257" s="340"/>
      <c r="T257" s="340"/>
      <c r="U257" s="340"/>
      <c r="V257" s="340"/>
      <c r="W257" s="340"/>
      <c r="X257" s="340"/>
      <c r="Y257" s="340"/>
      <c r="Z257" s="340"/>
      <c r="AA257" s="340"/>
      <c r="AB257" s="341"/>
      <c r="AC257" s="339" t="s">
        <v>42</v>
      </c>
      <c r="AD257" s="340"/>
      <c r="AE257" s="340"/>
      <c r="AF257" s="340"/>
      <c r="AG257" s="340"/>
      <c r="AH257" s="340"/>
      <c r="AI257" s="341"/>
      <c r="AJ257" s="339" t="s">
        <v>43</v>
      </c>
      <c r="AK257" s="340"/>
      <c r="AL257" s="340"/>
      <c r="AM257" s="340"/>
      <c r="AN257" s="340"/>
      <c r="AO257" s="340"/>
      <c r="AP257" s="341"/>
    </row>
    <row r="258" spans="1:45" s="26" customFormat="1" ht="63" thickTop="1" thickBot="1" x14ac:dyDescent="0.95">
      <c r="A258" s="345">
        <v>1</v>
      </c>
      <c r="B258" s="346"/>
      <c r="C258" s="346"/>
      <c r="D258" s="346"/>
      <c r="E258" s="346"/>
      <c r="F258" s="346"/>
      <c r="G258" s="347"/>
      <c r="H258" s="345" t="s">
        <v>1</v>
      </c>
      <c r="I258" s="346"/>
      <c r="J258" s="346"/>
      <c r="K258" s="346"/>
      <c r="L258" s="346"/>
      <c r="M258" s="346"/>
      <c r="N258" s="347"/>
      <c r="O258" s="348"/>
      <c r="P258" s="346"/>
      <c r="Q258" s="346"/>
      <c r="R258" s="346"/>
      <c r="S258" s="346"/>
      <c r="T258" s="346"/>
      <c r="U258" s="346"/>
      <c r="V258" s="346"/>
      <c r="W258" s="346"/>
      <c r="X258" s="18" t="s">
        <v>44</v>
      </c>
      <c r="Y258" s="346"/>
      <c r="Z258" s="346"/>
      <c r="AA258" s="346"/>
      <c r="AB258" s="347"/>
      <c r="AC258" s="349"/>
      <c r="AD258" s="350"/>
      <c r="AE258" s="350"/>
      <c r="AF258" s="350"/>
      <c r="AG258" s="350"/>
      <c r="AH258" s="350"/>
      <c r="AI258" s="351"/>
      <c r="AJ258" s="349"/>
      <c r="AK258" s="350"/>
      <c r="AL258" s="350"/>
      <c r="AM258" s="350"/>
      <c r="AN258" s="350"/>
      <c r="AO258" s="350"/>
      <c r="AP258" s="351"/>
      <c r="AS258" s="15"/>
    </row>
    <row r="259" spans="1:45" s="15" customFormat="1" ht="20.25" thickTop="1" thickBot="1" x14ac:dyDescent="0.35">
      <c r="R259" s="16"/>
      <c r="S259" s="16"/>
      <c r="T259" s="16"/>
      <c r="U259" s="16"/>
      <c r="V259" s="16"/>
      <c r="W259" s="16"/>
      <c r="X259" s="16"/>
    </row>
    <row r="260" spans="1:45" s="15" customFormat="1" ht="20.25" thickTop="1" thickBot="1" x14ac:dyDescent="0.35">
      <c r="A260" s="339" t="s">
        <v>45</v>
      </c>
      <c r="B260" s="340"/>
      <c r="C260" s="341"/>
      <c r="D260" s="339" t="s">
        <v>46</v>
      </c>
      <c r="E260" s="340"/>
      <c r="F260" s="340"/>
      <c r="G260" s="340"/>
      <c r="H260" s="340"/>
      <c r="I260" s="340"/>
      <c r="J260" s="340"/>
      <c r="K260" s="340"/>
      <c r="L260" s="340"/>
      <c r="M260" s="340"/>
      <c r="N260" s="340"/>
      <c r="O260" s="340"/>
      <c r="P260" s="340"/>
      <c r="Q260" s="341"/>
      <c r="R260" s="342" t="s">
        <v>76</v>
      </c>
      <c r="S260" s="343"/>
      <c r="T260" s="343"/>
      <c r="U260" s="343"/>
      <c r="V260" s="343"/>
      <c r="W260" s="343"/>
      <c r="X260" s="344"/>
      <c r="Y260" s="339" t="s">
        <v>47</v>
      </c>
      <c r="Z260" s="340"/>
      <c r="AA260" s="341"/>
      <c r="AB260" s="339" t="s">
        <v>48</v>
      </c>
      <c r="AC260" s="340"/>
      <c r="AD260" s="341"/>
      <c r="AE260" s="339" t="s">
        <v>49</v>
      </c>
      <c r="AF260" s="340"/>
      <c r="AG260" s="341"/>
      <c r="AH260" s="339" t="s">
        <v>50</v>
      </c>
      <c r="AI260" s="340"/>
      <c r="AJ260" s="341"/>
      <c r="AK260" s="339" t="s">
        <v>51</v>
      </c>
      <c r="AL260" s="340"/>
      <c r="AM260" s="341"/>
      <c r="AN260" s="339" t="s">
        <v>52</v>
      </c>
      <c r="AO260" s="340"/>
      <c r="AP260" s="341"/>
    </row>
    <row r="261" spans="1:45" s="27" customFormat="1" ht="48" thickTop="1" thickBot="1" x14ac:dyDescent="0.75">
      <c r="A261" s="327">
        <f>VLOOKUP(1,'Fase Grupos'!$AM$68:$AP$75,2,FALSE)</f>
        <v>0</v>
      </c>
      <c r="B261" s="328"/>
      <c r="C261" s="329"/>
      <c r="D261" s="330">
        <f>VLOOKUP(1,'Fase Grupos'!$AM$68:$AP$75,3,FALSE)</f>
        <v>0</v>
      </c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2"/>
      <c r="R261" s="333">
        <f>VLOOKUP(1,'Fase Grupos'!$AM$68:$AP$75,4,FALSE)</f>
        <v>0</v>
      </c>
      <c r="S261" s="334"/>
      <c r="T261" s="334"/>
      <c r="U261" s="334"/>
      <c r="V261" s="334"/>
      <c r="W261" s="334"/>
      <c r="X261" s="335"/>
      <c r="Y261" s="336"/>
      <c r="Z261" s="337"/>
      <c r="AA261" s="338"/>
      <c r="AB261" s="336"/>
      <c r="AC261" s="337"/>
      <c r="AD261" s="338"/>
      <c r="AE261" s="336"/>
      <c r="AF261" s="337"/>
      <c r="AG261" s="338"/>
      <c r="AH261" s="336"/>
      <c r="AI261" s="337"/>
      <c r="AJ261" s="338"/>
      <c r="AK261" s="336"/>
      <c r="AL261" s="337"/>
      <c r="AM261" s="338"/>
      <c r="AN261" s="336"/>
      <c r="AO261" s="337"/>
      <c r="AP261" s="338"/>
      <c r="AS261" s="28"/>
    </row>
    <row r="262" spans="1:45" s="27" customFormat="1" ht="48" customHeight="1" thickTop="1" thickBot="1" x14ac:dyDescent="0.75">
      <c r="A262" s="327">
        <f>VLOOKUP(3,'Fase Grupos'!$AM$68:$AP$75,2,FALSE)</f>
        <v>0</v>
      </c>
      <c r="B262" s="328"/>
      <c r="C262" s="329"/>
      <c r="D262" s="330">
        <f>VLOOKUP(3,'Fase Grupos'!$AM$68:$AP$75,3,FALSE)</f>
        <v>0</v>
      </c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2"/>
      <c r="R262" s="333">
        <f>VLOOKUP(3,'Fase Grupos'!$AM$68:$AP$75,4,FALSE)</f>
        <v>0</v>
      </c>
      <c r="S262" s="334"/>
      <c r="T262" s="334"/>
      <c r="U262" s="334"/>
      <c r="V262" s="334"/>
      <c r="W262" s="334"/>
      <c r="X262" s="335"/>
      <c r="Y262" s="336"/>
      <c r="Z262" s="337"/>
      <c r="AA262" s="338"/>
      <c r="AB262" s="336"/>
      <c r="AC262" s="337"/>
      <c r="AD262" s="338"/>
      <c r="AE262" s="336"/>
      <c r="AF262" s="337"/>
      <c r="AG262" s="338"/>
      <c r="AH262" s="336"/>
      <c r="AI262" s="337"/>
      <c r="AJ262" s="338"/>
      <c r="AK262" s="336"/>
      <c r="AL262" s="337"/>
      <c r="AM262" s="338"/>
      <c r="AN262" s="336"/>
      <c r="AO262" s="337"/>
      <c r="AP262" s="338"/>
    </row>
    <row r="263" spans="1:45" s="15" customFormat="1" ht="24" customHeight="1" thickTop="1" x14ac:dyDescent="0.3">
      <c r="R263" s="16"/>
      <c r="S263" s="16"/>
      <c r="T263" s="16"/>
      <c r="U263" s="16"/>
      <c r="V263" s="16"/>
      <c r="W263" s="16"/>
      <c r="X263" s="16"/>
    </row>
    <row r="264" spans="1:45" s="15" customFormat="1" ht="19.5" thickBot="1" x14ac:dyDescent="0.35">
      <c r="A264" s="325" t="s">
        <v>53</v>
      </c>
      <c r="B264" s="325"/>
      <c r="C264" s="325"/>
      <c r="D264" s="325"/>
      <c r="E264" s="325"/>
      <c r="F264" s="29"/>
      <c r="G264" s="29"/>
      <c r="H264" s="19"/>
      <c r="I264" s="19"/>
      <c r="J264" s="19"/>
      <c r="K264" s="19"/>
      <c r="L264" s="19"/>
      <c r="M264" s="19"/>
      <c r="N264" s="19"/>
      <c r="O264" s="19"/>
      <c r="P264" s="19"/>
      <c r="Q264" s="325" t="s">
        <v>54</v>
      </c>
      <c r="R264" s="325"/>
      <c r="S264" s="325"/>
      <c r="T264" s="325"/>
      <c r="U264" s="325"/>
      <c r="V264" s="325"/>
      <c r="W264" s="325"/>
      <c r="X264" s="20"/>
      <c r="Y264" s="29"/>
      <c r="Z264" s="29"/>
      <c r="AA264" s="29"/>
      <c r="AB264" s="19"/>
      <c r="AC264" s="19"/>
      <c r="AD264" s="19"/>
      <c r="AE264" s="19"/>
      <c r="AF264" s="19"/>
      <c r="AG264" s="19"/>
      <c r="AH264" s="19"/>
      <c r="AI264" s="325" t="s">
        <v>55</v>
      </c>
      <c r="AJ264" s="325"/>
      <c r="AK264" s="325"/>
      <c r="AL264" s="326"/>
      <c r="AM264" s="326"/>
      <c r="AN264" s="21" t="s">
        <v>44</v>
      </c>
      <c r="AO264" s="326"/>
      <c r="AP264" s="326"/>
    </row>
    <row r="265" spans="1:45" s="22" customFormat="1" ht="13.5" thickTop="1" x14ac:dyDescent="0.2">
      <c r="R265" s="23"/>
      <c r="S265" s="23"/>
      <c r="T265" s="23"/>
      <c r="U265" s="23"/>
      <c r="V265" s="23"/>
      <c r="W265" s="23"/>
      <c r="X265" s="23"/>
    </row>
    <row r="266" spans="1:45" s="22" customFormat="1" ht="12.75" x14ac:dyDescent="0.2">
      <c r="R266" s="23"/>
      <c r="S266" s="23"/>
      <c r="T266" s="23"/>
      <c r="U266" s="23"/>
      <c r="V266" s="23"/>
      <c r="W266" s="23"/>
      <c r="X266" s="23"/>
    </row>
    <row r="267" spans="1:45" s="24" customFormat="1" ht="36" x14ac:dyDescent="0.55000000000000004">
      <c r="A267" s="352" t="str">
        <f>SORTEIO!A7</f>
        <v>Campeonato Nacional</v>
      </c>
      <c r="B267" s="352"/>
      <c r="C267" s="352"/>
      <c r="D267" s="352"/>
      <c r="E267" s="352"/>
      <c r="F267" s="352"/>
      <c r="G267" s="352"/>
      <c r="H267" s="352"/>
      <c r="I267" s="352"/>
      <c r="J267" s="352"/>
      <c r="K267" s="352"/>
      <c r="L267" s="352"/>
      <c r="M267" s="352"/>
      <c r="N267" s="352"/>
      <c r="O267" s="352"/>
      <c r="P267" s="352"/>
      <c r="Q267" s="352"/>
      <c r="R267" s="352"/>
      <c r="S267" s="352"/>
      <c r="T267" s="352"/>
      <c r="U267" s="352"/>
      <c r="V267" s="352"/>
      <c r="W267" s="352"/>
      <c r="X267" s="352"/>
      <c r="Y267" s="352"/>
      <c r="Z267" s="352"/>
      <c r="AA267" s="352"/>
      <c r="AB267" s="352"/>
      <c r="AC267" s="352"/>
      <c r="AD267" s="352"/>
      <c r="AE267" s="352"/>
      <c r="AF267" s="352"/>
      <c r="AG267" s="352"/>
      <c r="AH267" s="352"/>
      <c r="AI267" s="352"/>
      <c r="AJ267" s="352"/>
      <c r="AK267" s="352"/>
      <c r="AL267" s="352"/>
      <c r="AM267" s="352"/>
      <c r="AN267" s="352"/>
      <c r="AO267" s="352"/>
      <c r="AP267" s="352"/>
    </row>
    <row r="268" spans="1:45" s="25" customFormat="1" ht="26.25" x14ac:dyDescent="0.4">
      <c r="A268" s="353" t="s">
        <v>37</v>
      </c>
      <c r="B268" s="353"/>
      <c r="C268" s="353"/>
      <c r="D268" s="353"/>
      <c r="E268" s="353"/>
      <c r="F268" s="353"/>
      <c r="G268" s="353"/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3"/>
      <c r="V268" s="353"/>
      <c r="W268" s="353"/>
      <c r="X268" s="353"/>
      <c r="Y268" s="353"/>
      <c r="Z268" s="353"/>
      <c r="AA268" s="353"/>
      <c r="AB268" s="353"/>
      <c r="AC268" s="353"/>
      <c r="AD268" s="353"/>
      <c r="AE268" s="353"/>
      <c r="AF268" s="353"/>
      <c r="AG268" s="353"/>
      <c r="AH268" s="353"/>
      <c r="AI268" s="353"/>
      <c r="AJ268" s="353"/>
      <c r="AK268" s="353"/>
      <c r="AL268" s="353"/>
      <c r="AM268" s="353"/>
      <c r="AN268" s="353"/>
      <c r="AO268" s="353"/>
      <c r="AP268" s="353"/>
    </row>
    <row r="269" spans="1:45" s="15" customFormat="1" ht="19.5" thickBot="1" x14ac:dyDescent="0.35">
      <c r="A269" s="354" t="str">
        <f>CONCATENATE(SORTEIO!B12," ",SORTEIO!B14)</f>
        <v>Iniciado Masculino</v>
      </c>
      <c r="B269" s="354"/>
      <c r="C269" s="354"/>
      <c r="D269" s="354"/>
      <c r="E269" s="354"/>
      <c r="F269" s="354"/>
      <c r="G269" s="354"/>
      <c r="H269" s="354"/>
      <c r="I269" s="354"/>
      <c r="J269" s="354"/>
      <c r="K269" s="354"/>
      <c r="L269" s="354"/>
      <c r="M269" s="354"/>
      <c r="N269" s="354"/>
      <c r="R269" s="16"/>
      <c r="S269" s="16"/>
      <c r="T269" s="16"/>
      <c r="U269" s="16"/>
      <c r="V269" s="16"/>
      <c r="W269" s="16"/>
      <c r="X269" s="16"/>
    </row>
    <row r="270" spans="1:45" s="25" customFormat="1" ht="27.75" thickTop="1" thickBot="1" x14ac:dyDescent="0.45">
      <c r="A270" s="355" t="s">
        <v>38</v>
      </c>
      <c r="B270" s="356"/>
      <c r="C270" s="356"/>
      <c r="D270" s="356"/>
      <c r="E270" s="356"/>
      <c r="F270" s="356"/>
      <c r="G270" s="356"/>
      <c r="H270" s="356"/>
      <c r="I270" s="356"/>
      <c r="J270" s="356"/>
      <c r="K270" s="356"/>
      <c r="L270" s="356"/>
      <c r="M270" s="356"/>
      <c r="N270" s="356"/>
      <c r="O270" s="356"/>
      <c r="P270" s="356"/>
      <c r="Q270" s="356"/>
      <c r="R270" s="356"/>
      <c r="S270" s="356"/>
      <c r="T270" s="356"/>
      <c r="U270" s="356"/>
      <c r="V270" s="356"/>
      <c r="W270" s="356"/>
      <c r="X270" s="356"/>
      <c r="Y270" s="356"/>
      <c r="Z270" s="356"/>
      <c r="AA270" s="356"/>
      <c r="AB270" s="356"/>
      <c r="AC270" s="356"/>
      <c r="AD270" s="356"/>
      <c r="AE270" s="356"/>
      <c r="AF270" s="356"/>
      <c r="AG270" s="356"/>
      <c r="AH270" s="356"/>
      <c r="AI270" s="356"/>
      <c r="AJ270" s="356"/>
      <c r="AK270" s="356"/>
      <c r="AL270" s="356"/>
      <c r="AM270" s="356"/>
      <c r="AN270" s="356"/>
      <c r="AO270" s="356"/>
      <c r="AP270" s="357"/>
    </row>
    <row r="271" spans="1:45" s="15" customFormat="1" ht="20.25" thickTop="1" thickBot="1" x14ac:dyDescent="0.35">
      <c r="A271" s="339" t="s">
        <v>39</v>
      </c>
      <c r="B271" s="340"/>
      <c r="C271" s="340"/>
      <c r="D271" s="340"/>
      <c r="E271" s="340"/>
      <c r="F271" s="340"/>
      <c r="G271" s="341"/>
      <c r="H271" s="339" t="s">
        <v>40</v>
      </c>
      <c r="I271" s="340"/>
      <c r="J271" s="340"/>
      <c r="K271" s="340"/>
      <c r="L271" s="340"/>
      <c r="M271" s="340"/>
      <c r="N271" s="341"/>
      <c r="O271" s="339" t="s">
        <v>41</v>
      </c>
      <c r="P271" s="340"/>
      <c r="Q271" s="340"/>
      <c r="R271" s="340"/>
      <c r="S271" s="340"/>
      <c r="T271" s="340"/>
      <c r="U271" s="340"/>
      <c r="V271" s="340"/>
      <c r="W271" s="340"/>
      <c r="X271" s="340"/>
      <c r="Y271" s="340"/>
      <c r="Z271" s="340"/>
      <c r="AA271" s="340"/>
      <c r="AB271" s="341"/>
      <c r="AC271" s="339" t="s">
        <v>42</v>
      </c>
      <c r="AD271" s="340"/>
      <c r="AE271" s="340"/>
      <c r="AF271" s="340"/>
      <c r="AG271" s="340"/>
      <c r="AH271" s="340"/>
      <c r="AI271" s="341"/>
      <c r="AJ271" s="339" t="s">
        <v>43</v>
      </c>
      <c r="AK271" s="340"/>
      <c r="AL271" s="340"/>
      <c r="AM271" s="340"/>
      <c r="AN271" s="340"/>
      <c r="AO271" s="340"/>
      <c r="AP271" s="341"/>
    </row>
    <row r="272" spans="1:45" s="26" customFormat="1" ht="63" thickTop="1" thickBot="1" x14ac:dyDescent="0.95">
      <c r="A272" s="345">
        <v>2</v>
      </c>
      <c r="B272" s="346"/>
      <c r="C272" s="346"/>
      <c r="D272" s="346"/>
      <c r="E272" s="346"/>
      <c r="F272" s="346"/>
      <c r="G272" s="347"/>
      <c r="H272" s="345" t="s">
        <v>1</v>
      </c>
      <c r="I272" s="346"/>
      <c r="J272" s="346"/>
      <c r="K272" s="346"/>
      <c r="L272" s="346"/>
      <c r="M272" s="346"/>
      <c r="N272" s="347"/>
      <c r="O272" s="348"/>
      <c r="P272" s="346"/>
      <c r="Q272" s="346"/>
      <c r="R272" s="346"/>
      <c r="S272" s="346"/>
      <c r="T272" s="346"/>
      <c r="U272" s="346"/>
      <c r="V272" s="346"/>
      <c r="W272" s="346"/>
      <c r="X272" s="18" t="s">
        <v>44</v>
      </c>
      <c r="Y272" s="346"/>
      <c r="Z272" s="346"/>
      <c r="AA272" s="346"/>
      <c r="AB272" s="347"/>
      <c r="AC272" s="349"/>
      <c r="AD272" s="350"/>
      <c r="AE272" s="350"/>
      <c r="AF272" s="350"/>
      <c r="AG272" s="350"/>
      <c r="AH272" s="350"/>
      <c r="AI272" s="351"/>
      <c r="AJ272" s="349"/>
      <c r="AK272" s="350"/>
      <c r="AL272" s="350"/>
      <c r="AM272" s="350"/>
      <c r="AN272" s="350"/>
      <c r="AO272" s="350"/>
      <c r="AP272" s="351"/>
      <c r="AS272" s="15"/>
    </row>
    <row r="273" spans="1:45" s="15" customFormat="1" ht="20.25" thickTop="1" thickBot="1" x14ac:dyDescent="0.35">
      <c r="R273" s="16"/>
      <c r="S273" s="16"/>
      <c r="T273" s="16"/>
      <c r="U273" s="16"/>
      <c r="V273" s="16"/>
      <c r="W273" s="16"/>
      <c r="X273" s="16"/>
    </row>
    <row r="274" spans="1:45" s="15" customFormat="1" ht="20.25" thickTop="1" thickBot="1" x14ac:dyDescent="0.35">
      <c r="A274" s="339" t="s">
        <v>45</v>
      </c>
      <c r="B274" s="340"/>
      <c r="C274" s="341"/>
      <c r="D274" s="339" t="s">
        <v>46</v>
      </c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1"/>
      <c r="R274" s="342" t="s">
        <v>76</v>
      </c>
      <c r="S274" s="343"/>
      <c r="T274" s="343"/>
      <c r="U274" s="343"/>
      <c r="V274" s="343"/>
      <c r="W274" s="343"/>
      <c r="X274" s="344"/>
      <c r="Y274" s="339" t="s">
        <v>47</v>
      </c>
      <c r="Z274" s="340"/>
      <c r="AA274" s="341"/>
      <c r="AB274" s="339" t="s">
        <v>48</v>
      </c>
      <c r="AC274" s="340"/>
      <c r="AD274" s="341"/>
      <c r="AE274" s="339" t="s">
        <v>49</v>
      </c>
      <c r="AF274" s="340"/>
      <c r="AG274" s="341"/>
      <c r="AH274" s="339" t="s">
        <v>50</v>
      </c>
      <c r="AI274" s="340"/>
      <c r="AJ274" s="341"/>
      <c r="AK274" s="339" t="s">
        <v>51</v>
      </c>
      <c r="AL274" s="340"/>
      <c r="AM274" s="341"/>
      <c r="AN274" s="339" t="s">
        <v>52</v>
      </c>
      <c r="AO274" s="340"/>
      <c r="AP274" s="341"/>
    </row>
    <row r="275" spans="1:45" s="27" customFormat="1" ht="48" thickTop="1" thickBot="1" x14ac:dyDescent="0.75">
      <c r="A275" s="327">
        <f>VLOOKUP(2,'Fase Grupos'!$AM$68:$AP$75,2,FALSE)</f>
        <v>0</v>
      </c>
      <c r="B275" s="328"/>
      <c r="C275" s="329"/>
      <c r="D275" s="330">
        <f>VLOOKUP(2,'Fase Grupos'!$AM$68:$AP$75,3,FALSE)</f>
        <v>0</v>
      </c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2"/>
      <c r="R275" s="333">
        <f>VLOOKUP(2,'Fase Grupos'!$AM$68:$AP$75,4,FALSE)</f>
        <v>0</v>
      </c>
      <c r="S275" s="334"/>
      <c r="T275" s="334"/>
      <c r="U275" s="334"/>
      <c r="V275" s="334"/>
      <c r="W275" s="334"/>
      <c r="X275" s="335"/>
      <c r="Y275" s="336"/>
      <c r="Z275" s="337"/>
      <c r="AA275" s="338"/>
      <c r="AB275" s="336"/>
      <c r="AC275" s="337"/>
      <c r="AD275" s="338"/>
      <c r="AE275" s="336"/>
      <c r="AF275" s="337"/>
      <c r="AG275" s="338"/>
      <c r="AH275" s="336"/>
      <c r="AI275" s="337"/>
      <c r="AJ275" s="338"/>
      <c r="AK275" s="336"/>
      <c r="AL275" s="337"/>
      <c r="AM275" s="338"/>
      <c r="AN275" s="336"/>
      <c r="AO275" s="337"/>
      <c r="AP275" s="338"/>
      <c r="AS275" s="28"/>
    </row>
    <row r="276" spans="1:45" s="27" customFormat="1" ht="48" customHeight="1" thickTop="1" thickBot="1" x14ac:dyDescent="0.75">
      <c r="A276" s="327">
        <f>VLOOKUP(4,'Fase Grupos'!$AM$68:$AP$75,2,FALSE)</f>
        <v>0</v>
      </c>
      <c r="B276" s="328"/>
      <c r="C276" s="329"/>
      <c r="D276" s="330">
        <f>VLOOKUP(4,'Fase Grupos'!$AM$68:$AP$75,3,FALSE)</f>
        <v>0</v>
      </c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2"/>
      <c r="R276" s="333">
        <f>VLOOKUP(4,'Fase Grupos'!$AM$68:$AP$75,4,FALSE)</f>
        <v>0</v>
      </c>
      <c r="S276" s="334"/>
      <c r="T276" s="334"/>
      <c r="U276" s="334"/>
      <c r="V276" s="334"/>
      <c r="W276" s="334"/>
      <c r="X276" s="335"/>
      <c r="Y276" s="336"/>
      <c r="Z276" s="337"/>
      <c r="AA276" s="338"/>
      <c r="AB276" s="336"/>
      <c r="AC276" s="337"/>
      <c r="AD276" s="338"/>
      <c r="AE276" s="336"/>
      <c r="AF276" s="337"/>
      <c r="AG276" s="338"/>
      <c r="AH276" s="336"/>
      <c r="AI276" s="337"/>
      <c r="AJ276" s="338"/>
      <c r="AK276" s="336"/>
      <c r="AL276" s="337"/>
      <c r="AM276" s="338"/>
      <c r="AN276" s="336"/>
      <c r="AO276" s="337"/>
      <c r="AP276" s="338"/>
    </row>
    <row r="277" spans="1:45" s="15" customFormat="1" ht="24" customHeight="1" thickTop="1" x14ac:dyDescent="0.3">
      <c r="R277" s="16"/>
      <c r="S277" s="16"/>
      <c r="T277" s="16"/>
      <c r="U277" s="16"/>
      <c r="V277" s="16"/>
      <c r="W277" s="16"/>
      <c r="X277" s="16"/>
    </row>
    <row r="278" spans="1:45" s="15" customFormat="1" ht="19.5" thickBot="1" x14ac:dyDescent="0.35">
      <c r="A278" s="325" t="s">
        <v>53</v>
      </c>
      <c r="B278" s="325"/>
      <c r="C278" s="325"/>
      <c r="D278" s="325"/>
      <c r="E278" s="325"/>
      <c r="F278" s="29"/>
      <c r="G278" s="29"/>
      <c r="H278" s="19"/>
      <c r="I278" s="19"/>
      <c r="J278" s="19"/>
      <c r="K278" s="19"/>
      <c r="L278" s="19"/>
      <c r="M278" s="19"/>
      <c r="N278" s="19"/>
      <c r="O278" s="19"/>
      <c r="P278" s="19"/>
      <c r="Q278" s="325" t="s">
        <v>54</v>
      </c>
      <c r="R278" s="325"/>
      <c r="S278" s="325"/>
      <c r="T278" s="325"/>
      <c r="U278" s="325"/>
      <c r="V278" s="325"/>
      <c r="W278" s="325"/>
      <c r="X278" s="20"/>
      <c r="Y278" s="29"/>
      <c r="Z278" s="29"/>
      <c r="AA278" s="29"/>
      <c r="AB278" s="19"/>
      <c r="AC278" s="19"/>
      <c r="AD278" s="19"/>
      <c r="AE278" s="19"/>
      <c r="AF278" s="19"/>
      <c r="AG278" s="19"/>
      <c r="AH278" s="19"/>
      <c r="AI278" s="325" t="s">
        <v>55</v>
      </c>
      <c r="AJ278" s="325"/>
      <c r="AK278" s="325"/>
      <c r="AL278" s="326"/>
      <c r="AM278" s="326"/>
      <c r="AN278" s="21" t="s">
        <v>44</v>
      </c>
      <c r="AO278" s="326"/>
      <c r="AP278" s="326"/>
    </row>
    <row r="279" spans="1:45" s="22" customFormat="1" ht="13.5" thickTop="1" x14ac:dyDescent="0.2">
      <c r="R279" s="23"/>
      <c r="S279" s="23"/>
      <c r="T279" s="23"/>
      <c r="U279" s="23"/>
      <c r="V279" s="23"/>
      <c r="W279" s="23"/>
      <c r="X279" s="23"/>
    </row>
    <row r="280" spans="1:45" s="22" customFormat="1" ht="12.75" x14ac:dyDescent="0.2">
      <c r="R280" s="23"/>
      <c r="S280" s="23"/>
      <c r="T280" s="23"/>
      <c r="U280" s="23"/>
      <c r="V280" s="23"/>
      <c r="W280" s="23"/>
      <c r="X280" s="23"/>
    </row>
    <row r="281" spans="1:45" s="24" customFormat="1" ht="36" x14ac:dyDescent="0.55000000000000004">
      <c r="A281" s="352" t="str">
        <f>SORTEIO!A7</f>
        <v>Campeonato Nacional</v>
      </c>
      <c r="B281" s="352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2"/>
      <c r="V281" s="352"/>
      <c r="W281" s="352"/>
      <c r="X281" s="352"/>
      <c r="Y281" s="352"/>
      <c r="Z281" s="352"/>
      <c r="AA281" s="352"/>
      <c r="AB281" s="352"/>
      <c r="AC281" s="352"/>
      <c r="AD281" s="352"/>
      <c r="AE281" s="352"/>
      <c r="AF281" s="352"/>
      <c r="AG281" s="352"/>
      <c r="AH281" s="352"/>
      <c r="AI281" s="352"/>
      <c r="AJ281" s="352"/>
      <c r="AK281" s="352"/>
      <c r="AL281" s="352"/>
      <c r="AM281" s="352"/>
      <c r="AN281" s="352"/>
      <c r="AO281" s="352"/>
      <c r="AP281" s="352"/>
    </row>
    <row r="282" spans="1:45" s="25" customFormat="1" ht="26.25" x14ac:dyDescent="0.4">
      <c r="A282" s="353" t="s">
        <v>37</v>
      </c>
      <c r="B282" s="353"/>
      <c r="C282" s="353"/>
      <c r="D282" s="353"/>
      <c r="E282" s="353"/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3"/>
      <c r="T282" s="353"/>
      <c r="U282" s="353"/>
      <c r="V282" s="353"/>
      <c r="W282" s="353"/>
      <c r="X282" s="353"/>
      <c r="Y282" s="353"/>
      <c r="Z282" s="353"/>
      <c r="AA282" s="353"/>
      <c r="AB282" s="353"/>
      <c r="AC282" s="353"/>
      <c r="AD282" s="353"/>
      <c r="AE282" s="353"/>
      <c r="AF282" s="353"/>
      <c r="AG282" s="353"/>
      <c r="AH282" s="353"/>
      <c r="AI282" s="353"/>
      <c r="AJ282" s="353"/>
      <c r="AK282" s="353"/>
      <c r="AL282" s="353"/>
      <c r="AM282" s="353"/>
      <c r="AN282" s="353"/>
      <c r="AO282" s="353"/>
      <c r="AP282" s="353"/>
    </row>
    <row r="283" spans="1:45" s="15" customFormat="1" ht="19.5" thickBot="1" x14ac:dyDescent="0.35">
      <c r="A283" s="354" t="str">
        <f>CONCATENATE(SORTEIO!B12," ",SORTEIO!B14)</f>
        <v>Iniciado Masculino</v>
      </c>
      <c r="B283" s="354"/>
      <c r="C283" s="354"/>
      <c r="D283" s="354"/>
      <c r="E283" s="354"/>
      <c r="F283" s="354"/>
      <c r="G283" s="354"/>
      <c r="H283" s="354"/>
      <c r="I283" s="354"/>
      <c r="J283" s="354"/>
      <c r="K283" s="354"/>
      <c r="L283" s="354"/>
      <c r="M283" s="354"/>
      <c r="N283" s="354"/>
      <c r="R283" s="16"/>
      <c r="S283" s="16"/>
      <c r="T283" s="16"/>
      <c r="U283" s="16"/>
      <c r="V283" s="16"/>
      <c r="W283" s="16"/>
      <c r="X283" s="16"/>
    </row>
    <row r="284" spans="1:45" s="25" customFormat="1" ht="27.75" thickTop="1" thickBot="1" x14ac:dyDescent="0.45">
      <c r="A284" s="355" t="s">
        <v>38</v>
      </c>
      <c r="B284" s="356"/>
      <c r="C284" s="356"/>
      <c r="D284" s="356"/>
      <c r="E284" s="356"/>
      <c r="F284" s="356"/>
      <c r="G284" s="356"/>
      <c r="H284" s="356"/>
      <c r="I284" s="356"/>
      <c r="J284" s="356"/>
      <c r="K284" s="356"/>
      <c r="L284" s="356"/>
      <c r="M284" s="356"/>
      <c r="N284" s="356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7"/>
    </row>
    <row r="285" spans="1:45" s="15" customFormat="1" ht="20.25" thickTop="1" thickBot="1" x14ac:dyDescent="0.35">
      <c r="A285" s="339" t="s">
        <v>39</v>
      </c>
      <c r="B285" s="340"/>
      <c r="C285" s="340"/>
      <c r="D285" s="340"/>
      <c r="E285" s="340"/>
      <c r="F285" s="340"/>
      <c r="G285" s="341"/>
      <c r="H285" s="339" t="s">
        <v>40</v>
      </c>
      <c r="I285" s="340"/>
      <c r="J285" s="340"/>
      <c r="K285" s="340"/>
      <c r="L285" s="340"/>
      <c r="M285" s="340"/>
      <c r="N285" s="341"/>
      <c r="O285" s="339" t="s">
        <v>41</v>
      </c>
      <c r="P285" s="340"/>
      <c r="Q285" s="340"/>
      <c r="R285" s="340"/>
      <c r="S285" s="340"/>
      <c r="T285" s="340"/>
      <c r="U285" s="340"/>
      <c r="V285" s="340"/>
      <c r="W285" s="340"/>
      <c r="X285" s="340"/>
      <c r="Y285" s="340"/>
      <c r="Z285" s="340"/>
      <c r="AA285" s="340"/>
      <c r="AB285" s="341"/>
      <c r="AC285" s="339" t="s">
        <v>42</v>
      </c>
      <c r="AD285" s="340"/>
      <c r="AE285" s="340"/>
      <c r="AF285" s="340"/>
      <c r="AG285" s="340"/>
      <c r="AH285" s="340"/>
      <c r="AI285" s="341"/>
      <c r="AJ285" s="339" t="s">
        <v>43</v>
      </c>
      <c r="AK285" s="340"/>
      <c r="AL285" s="340"/>
      <c r="AM285" s="340"/>
      <c r="AN285" s="340"/>
      <c r="AO285" s="340"/>
      <c r="AP285" s="341"/>
    </row>
    <row r="286" spans="1:45" s="26" customFormat="1" ht="63" thickTop="1" thickBot="1" x14ac:dyDescent="0.95">
      <c r="A286" s="345">
        <v>3</v>
      </c>
      <c r="B286" s="346"/>
      <c r="C286" s="346"/>
      <c r="D286" s="346"/>
      <c r="E286" s="346"/>
      <c r="F286" s="346"/>
      <c r="G286" s="347"/>
      <c r="H286" s="345" t="s">
        <v>1</v>
      </c>
      <c r="I286" s="346"/>
      <c r="J286" s="346"/>
      <c r="K286" s="346"/>
      <c r="L286" s="346"/>
      <c r="M286" s="346"/>
      <c r="N286" s="347"/>
      <c r="O286" s="348"/>
      <c r="P286" s="346"/>
      <c r="Q286" s="346"/>
      <c r="R286" s="346"/>
      <c r="S286" s="346"/>
      <c r="T286" s="346"/>
      <c r="U286" s="346"/>
      <c r="V286" s="346"/>
      <c r="W286" s="346"/>
      <c r="X286" s="18" t="s">
        <v>44</v>
      </c>
      <c r="Y286" s="346"/>
      <c r="Z286" s="346"/>
      <c r="AA286" s="346"/>
      <c r="AB286" s="347"/>
      <c r="AC286" s="349"/>
      <c r="AD286" s="350"/>
      <c r="AE286" s="350"/>
      <c r="AF286" s="350"/>
      <c r="AG286" s="350"/>
      <c r="AH286" s="350"/>
      <c r="AI286" s="351"/>
      <c r="AJ286" s="349"/>
      <c r="AK286" s="350"/>
      <c r="AL286" s="350"/>
      <c r="AM286" s="350"/>
      <c r="AN286" s="350"/>
      <c r="AO286" s="350"/>
      <c r="AP286" s="351"/>
      <c r="AS286" s="15"/>
    </row>
    <row r="287" spans="1:45" s="15" customFormat="1" ht="20.25" thickTop="1" thickBot="1" x14ac:dyDescent="0.35">
      <c r="R287" s="16"/>
      <c r="S287" s="16"/>
      <c r="T287" s="16"/>
      <c r="U287" s="16"/>
      <c r="V287" s="16"/>
      <c r="W287" s="16"/>
      <c r="X287" s="16"/>
    </row>
    <row r="288" spans="1:45" s="15" customFormat="1" ht="20.25" thickTop="1" thickBot="1" x14ac:dyDescent="0.35">
      <c r="A288" s="339" t="s">
        <v>45</v>
      </c>
      <c r="B288" s="340"/>
      <c r="C288" s="341"/>
      <c r="D288" s="339" t="s">
        <v>46</v>
      </c>
      <c r="E288" s="340"/>
      <c r="F288" s="340"/>
      <c r="G288" s="340"/>
      <c r="H288" s="340"/>
      <c r="I288" s="340"/>
      <c r="J288" s="340"/>
      <c r="K288" s="340"/>
      <c r="L288" s="340"/>
      <c r="M288" s="340"/>
      <c r="N288" s="340"/>
      <c r="O288" s="340"/>
      <c r="P288" s="340"/>
      <c r="Q288" s="341"/>
      <c r="R288" s="342" t="s">
        <v>76</v>
      </c>
      <c r="S288" s="343"/>
      <c r="T288" s="343"/>
      <c r="U288" s="343"/>
      <c r="V288" s="343"/>
      <c r="W288" s="343"/>
      <c r="X288" s="344"/>
      <c r="Y288" s="339" t="s">
        <v>47</v>
      </c>
      <c r="Z288" s="340"/>
      <c r="AA288" s="341"/>
      <c r="AB288" s="339" t="s">
        <v>48</v>
      </c>
      <c r="AC288" s="340"/>
      <c r="AD288" s="341"/>
      <c r="AE288" s="339" t="s">
        <v>49</v>
      </c>
      <c r="AF288" s="340"/>
      <c r="AG288" s="341"/>
      <c r="AH288" s="339" t="s">
        <v>50</v>
      </c>
      <c r="AI288" s="340"/>
      <c r="AJ288" s="341"/>
      <c r="AK288" s="339" t="s">
        <v>51</v>
      </c>
      <c r="AL288" s="340"/>
      <c r="AM288" s="341"/>
      <c r="AN288" s="339" t="s">
        <v>52</v>
      </c>
      <c r="AO288" s="340"/>
      <c r="AP288" s="341"/>
    </row>
    <row r="289" spans="1:45" s="27" customFormat="1" ht="48" thickTop="1" thickBot="1" x14ac:dyDescent="0.75">
      <c r="A289" s="327">
        <f>VLOOKUP(1,'Fase Grupos'!$AM$68:$AP$75,2,FALSE)</f>
        <v>0</v>
      </c>
      <c r="B289" s="328"/>
      <c r="C289" s="329"/>
      <c r="D289" s="330">
        <f>VLOOKUP(1,'Fase Grupos'!$AM$68:$AP$75,3,FALSE)</f>
        <v>0</v>
      </c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2"/>
      <c r="R289" s="333">
        <f>VLOOKUP(1,'Fase Grupos'!$AM$68:$AP$75,4,FALSE)</f>
        <v>0</v>
      </c>
      <c r="S289" s="334"/>
      <c r="T289" s="334"/>
      <c r="U289" s="334"/>
      <c r="V289" s="334"/>
      <c r="W289" s="334"/>
      <c r="X289" s="335"/>
      <c r="Y289" s="336"/>
      <c r="Z289" s="337"/>
      <c r="AA289" s="338"/>
      <c r="AB289" s="336"/>
      <c r="AC289" s="337"/>
      <c r="AD289" s="338"/>
      <c r="AE289" s="336"/>
      <c r="AF289" s="337"/>
      <c r="AG289" s="338"/>
      <c r="AH289" s="336"/>
      <c r="AI289" s="337"/>
      <c r="AJ289" s="338"/>
      <c r="AK289" s="336"/>
      <c r="AL289" s="337"/>
      <c r="AM289" s="338"/>
      <c r="AN289" s="336"/>
      <c r="AO289" s="337"/>
      <c r="AP289" s="338"/>
      <c r="AS289" s="28"/>
    </row>
    <row r="290" spans="1:45" s="27" customFormat="1" ht="48" customHeight="1" thickTop="1" thickBot="1" x14ac:dyDescent="0.75">
      <c r="A290" s="327">
        <f>VLOOKUP(2,'Fase Grupos'!$AM$68:$AP$75,2,FALSE)</f>
        <v>0</v>
      </c>
      <c r="B290" s="328"/>
      <c r="C290" s="329"/>
      <c r="D290" s="330">
        <f>VLOOKUP(2,'Fase Grupos'!$AM$68:$AP$75,3,FALSE)</f>
        <v>0</v>
      </c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2"/>
      <c r="R290" s="333">
        <f>VLOOKUP(2,'Fase Grupos'!$AM$68:$AP$75,4,FALSE)</f>
        <v>0</v>
      </c>
      <c r="S290" s="334"/>
      <c r="T290" s="334"/>
      <c r="U290" s="334"/>
      <c r="V290" s="334"/>
      <c r="W290" s="334"/>
      <c r="X290" s="335"/>
      <c r="Y290" s="336"/>
      <c r="Z290" s="337"/>
      <c r="AA290" s="338"/>
      <c r="AB290" s="336"/>
      <c r="AC290" s="337"/>
      <c r="AD290" s="338"/>
      <c r="AE290" s="336"/>
      <c r="AF290" s="337"/>
      <c r="AG290" s="338"/>
      <c r="AH290" s="336"/>
      <c r="AI290" s="337"/>
      <c r="AJ290" s="338"/>
      <c r="AK290" s="336"/>
      <c r="AL290" s="337"/>
      <c r="AM290" s="338"/>
      <c r="AN290" s="336"/>
      <c r="AO290" s="337"/>
      <c r="AP290" s="338"/>
    </row>
    <row r="291" spans="1:45" s="15" customFormat="1" ht="24" customHeight="1" thickTop="1" x14ac:dyDescent="0.3">
      <c r="R291" s="16"/>
      <c r="S291" s="16"/>
      <c r="T291" s="16"/>
      <c r="U291" s="16"/>
      <c r="V291" s="16"/>
      <c r="W291" s="16"/>
      <c r="X291" s="16"/>
    </row>
    <row r="292" spans="1:45" s="15" customFormat="1" ht="19.5" thickBot="1" x14ac:dyDescent="0.35">
      <c r="A292" s="325" t="s">
        <v>53</v>
      </c>
      <c r="B292" s="325"/>
      <c r="C292" s="325"/>
      <c r="D292" s="325"/>
      <c r="E292" s="325"/>
      <c r="F292" s="29"/>
      <c r="G292" s="29"/>
      <c r="H292" s="19"/>
      <c r="I292" s="19"/>
      <c r="J292" s="19"/>
      <c r="K292" s="19"/>
      <c r="L292" s="19"/>
      <c r="M292" s="19"/>
      <c r="N292" s="19"/>
      <c r="O292" s="19"/>
      <c r="P292" s="19"/>
      <c r="Q292" s="325" t="s">
        <v>54</v>
      </c>
      <c r="R292" s="325"/>
      <c r="S292" s="325"/>
      <c r="T292" s="325"/>
      <c r="U292" s="325"/>
      <c r="V292" s="325"/>
      <c r="W292" s="325"/>
      <c r="X292" s="20"/>
      <c r="Y292" s="29"/>
      <c r="Z292" s="29"/>
      <c r="AA292" s="29"/>
      <c r="AB292" s="19"/>
      <c r="AC292" s="19"/>
      <c r="AD292" s="19"/>
      <c r="AE292" s="19"/>
      <c r="AF292" s="19"/>
      <c r="AG292" s="19"/>
      <c r="AH292" s="19"/>
      <c r="AI292" s="325" t="s">
        <v>55</v>
      </c>
      <c r="AJ292" s="325"/>
      <c r="AK292" s="325"/>
      <c r="AL292" s="326"/>
      <c r="AM292" s="326"/>
      <c r="AN292" s="21" t="s">
        <v>44</v>
      </c>
      <c r="AO292" s="326"/>
      <c r="AP292" s="326"/>
    </row>
    <row r="293" spans="1:45" s="22" customFormat="1" ht="13.5" thickTop="1" x14ac:dyDescent="0.2">
      <c r="R293" s="23"/>
      <c r="S293" s="23"/>
      <c r="T293" s="23"/>
      <c r="U293" s="23"/>
      <c r="V293" s="23"/>
      <c r="W293" s="23"/>
      <c r="X293" s="23"/>
    </row>
    <row r="294" spans="1:45" s="22" customFormat="1" ht="12.75" x14ac:dyDescent="0.2">
      <c r="R294" s="23"/>
      <c r="S294" s="23"/>
      <c r="T294" s="23"/>
      <c r="U294" s="23"/>
      <c r="V294" s="23"/>
      <c r="W294" s="23"/>
      <c r="X294" s="23"/>
    </row>
    <row r="295" spans="1:45" s="24" customFormat="1" ht="36" x14ac:dyDescent="0.55000000000000004">
      <c r="A295" s="352" t="str">
        <f>SORTEIO!A7</f>
        <v>Campeonato Nacional</v>
      </c>
      <c r="B295" s="352"/>
      <c r="C295" s="352"/>
      <c r="D295" s="352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2"/>
      <c r="V295" s="352"/>
      <c r="W295" s="352"/>
      <c r="X295" s="352"/>
      <c r="Y295" s="352"/>
      <c r="Z295" s="352"/>
      <c r="AA295" s="352"/>
      <c r="AB295" s="352"/>
      <c r="AC295" s="352"/>
      <c r="AD295" s="352"/>
      <c r="AE295" s="352"/>
      <c r="AF295" s="352"/>
      <c r="AG295" s="352"/>
      <c r="AH295" s="352"/>
      <c r="AI295" s="352"/>
      <c r="AJ295" s="352"/>
      <c r="AK295" s="352"/>
      <c r="AL295" s="352"/>
      <c r="AM295" s="352"/>
      <c r="AN295" s="352"/>
      <c r="AO295" s="352"/>
      <c r="AP295" s="352"/>
    </row>
    <row r="296" spans="1:45" s="25" customFormat="1" ht="26.25" x14ac:dyDescent="0.4">
      <c r="A296" s="353" t="s">
        <v>37</v>
      </c>
      <c r="B296" s="353"/>
      <c r="C296" s="353"/>
      <c r="D296" s="353"/>
      <c r="E296" s="353"/>
      <c r="F296" s="353"/>
      <c r="G296" s="353"/>
      <c r="H296" s="353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3"/>
      <c r="Z296" s="353"/>
      <c r="AA296" s="353"/>
      <c r="AB296" s="353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  <c r="AN296" s="353"/>
      <c r="AO296" s="353"/>
      <c r="AP296" s="353"/>
    </row>
    <row r="297" spans="1:45" s="15" customFormat="1" ht="19.5" thickBot="1" x14ac:dyDescent="0.35">
      <c r="A297" s="354" t="str">
        <f>CONCATENATE(SORTEIO!B12," ",SORTEIO!B14)</f>
        <v>Iniciado Masculino</v>
      </c>
      <c r="B297" s="354"/>
      <c r="C297" s="354"/>
      <c r="D297" s="354"/>
      <c r="E297" s="354"/>
      <c r="F297" s="354"/>
      <c r="G297" s="354"/>
      <c r="H297" s="354"/>
      <c r="I297" s="354"/>
      <c r="J297" s="354"/>
      <c r="K297" s="354"/>
      <c r="L297" s="354"/>
      <c r="M297" s="354"/>
      <c r="N297" s="354"/>
      <c r="R297" s="16"/>
      <c r="S297" s="16"/>
      <c r="T297" s="16"/>
      <c r="U297" s="16"/>
      <c r="V297" s="16"/>
      <c r="W297" s="16"/>
      <c r="X297" s="16"/>
    </row>
    <row r="298" spans="1:45" s="25" customFormat="1" ht="27.75" thickTop="1" thickBot="1" x14ac:dyDescent="0.45">
      <c r="A298" s="355" t="s">
        <v>38</v>
      </c>
      <c r="B298" s="356"/>
      <c r="C298" s="356"/>
      <c r="D298" s="356"/>
      <c r="E298" s="356"/>
      <c r="F298" s="356"/>
      <c r="G298" s="356"/>
      <c r="H298" s="356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56"/>
      <c r="U298" s="356"/>
      <c r="V298" s="356"/>
      <c r="W298" s="356"/>
      <c r="X298" s="356"/>
      <c r="Y298" s="356"/>
      <c r="Z298" s="356"/>
      <c r="AA298" s="356"/>
      <c r="AB298" s="356"/>
      <c r="AC298" s="356"/>
      <c r="AD298" s="356"/>
      <c r="AE298" s="356"/>
      <c r="AF298" s="356"/>
      <c r="AG298" s="356"/>
      <c r="AH298" s="356"/>
      <c r="AI298" s="356"/>
      <c r="AJ298" s="356"/>
      <c r="AK298" s="356"/>
      <c r="AL298" s="356"/>
      <c r="AM298" s="356"/>
      <c r="AN298" s="356"/>
      <c r="AO298" s="356"/>
      <c r="AP298" s="357"/>
    </row>
    <row r="299" spans="1:45" s="15" customFormat="1" ht="20.25" thickTop="1" thickBot="1" x14ac:dyDescent="0.35">
      <c r="A299" s="339" t="s">
        <v>39</v>
      </c>
      <c r="B299" s="340"/>
      <c r="C299" s="340"/>
      <c r="D299" s="340"/>
      <c r="E299" s="340"/>
      <c r="F299" s="340"/>
      <c r="G299" s="341"/>
      <c r="H299" s="339" t="s">
        <v>40</v>
      </c>
      <c r="I299" s="340"/>
      <c r="J299" s="340"/>
      <c r="K299" s="340"/>
      <c r="L299" s="340"/>
      <c r="M299" s="340"/>
      <c r="N299" s="341"/>
      <c r="O299" s="339" t="s">
        <v>41</v>
      </c>
      <c r="P299" s="340"/>
      <c r="Q299" s="340"/>
      <c r="R299" s="340"/>
      <c r="S299" s="340"/>
      <c r="T299" s="340"/>
      <c r="U299" s="340"/>
      <c r="V299" s="340"/>
      <c r="W299" s="340"/>
      <c r="X299" s="340"/>
      <c r="Y299" s="340"/>
      <c r="Z299" s="340"/>
      <c r="AA299" s="340"/>
      <c r="AB299" s="341"/>
      <c r="AC299" s="339" t="s">
        <v>42</v>
      </c>
      <c r="AD299" s="340"/>
      <c r="AE299" s="340"/>
      <c r="AF299" s="340"/>
      <c r="AG299" s="340"/>
      <c r="AH299" s="340"/>
      <c r="AI299" s="341"/>
      <c r="AJ299" s="339" t="s">
        <v>43</v>
      </c>
      <c r="AK299" s="340"/>
      <c r="AL299" s="340"/>
      <c r="AM299" s="340"/>
      <c r="AN299" s="340"/>
      <c r="AO299" s="340"/>
      <c r="AP299" s="341"/>
    </row>
    <row r="300" spans="1:45" s="26" customFormat="1" ht="63" thickTop="1" thickBot="1" x14ac:dyDescent="0.95">
      <c r="A300" s="345">
        <v>4</v>
      </c>
      <c r="B300" s="346"/>
      <c r="C300" s="346"/>
      <c r="D300" s="346"/>
      <c r="E300" s="346"/>
      <c r="F300" s="346"/>
      <c r="G300" s="347"/>
      <c r="H300" s="345" t="s">
        <v>1</v>
      </c>
      <c r="I300" s="346"/>
      <c r="J300" s="346"/>
      <c r="K300" s="346"/>
      <c r="L300" s="346"/>
      <c r="M300" s="346"/>
      <c r="N300" s="347"/>
      <c r="O300" s="348"/>
      <c r="P300" s="346"/>
      <c r="Q300" s="346"/>
      <c r="R300" s="346"/>
      <c r="S300" s="346"/>
      <c r="T300" s="346"/>
      <c r="U300" s="346"/>
      <c r="V300" s="346"/>
      <c r="W300" s="346"/>
      <c r="X300" s="18" t="s">
        <v>44</v>
      </c>
      <c r="Y300" s="346"/>
      <c r="Z300" s="346"/>
      <c r="AA300" s="346"/>
      <c r="AB300" s="347"/>
      <c r="AC300" s="349"/>
      <c r="AD300" s="350"/>
      <c r="AE300" s="350"/>
      <c r="AF300" s="350"/>
      <c r="AG300" s="350"/>
      <c r="AH300" s="350"/>
      <c r="AI300" s="351"/>
      <c r="AJ300" s="349"/>
      <c r="AK300" s="350"/>
      <c r="AL300" s="350"/>
      <c r="AM300" s="350"/>
      <c r="AN300" s="350"/>
      <c r="AO300" s="350"/>
      <c r="AP300" s="351"/>
      <c r="AS300" s="15"/>
    </row>
    <row r="301" spans="1:45" s="15" customFormat="1" ht="20.25" thickTop="1" thickBot="1" x14ac:dyDescent="0.35">
      <c r="R301" s="16"/>
      <c r="S301" s="16"/>
      <c r="T301" s="16"/>
      <c r="U301" s="16"/>
      <c r="V301" s="16"/>
      <c r="W301" s="16"/>
      <c r="X301" s="16"/>
    </row>
    <row r="302" spans="1:45" s="15" customFormat="1" ht="20.25" thickTop="1" thickBot="1" x14ac:dyDescent="0.35">
      <c r="A302" s="339" t="s">
        <v>45</v>
      </c>
      <c r="B302" s="340"/>
      <c r="C302" s="341"/>
      <c r="D302" s="339" t="s">
        <v>46</v>
      </c>
      <c r="E302" s="340"/>
      <c r="F302" s="340"/>
      <c r="G302" s="340"/>
      <c r="H302" s="340"/>
      <c r="I302" s="340"/>
      <c r="J302" s="340"/>
      <c r="K302" s="340"/>
      <c r="L302" s="340"/>
      <c r="M302" s="340"/>
      <c r="N302" s="340"/>
      <c r="O302" s="340"/>
      <c r="P302" s="340"/>
      <c r="Q302" s="341"/>
      <c r="R302" s="342" t="s">
        <v>76</v>
      </c>
      <c r="S302" s="343"/>
      <c r="T302" s="343"/>
      <c r="U302" s="343"/>
      <c r="V302" s="343"/>
      <c r="W302" s="343"/>
      <c r="X302" s="344"/>
      <c r="Y302" s="339" t="s">
        <v>47</v>
      </c>
      <c r="Z302" s="340"/>
      <c r="AA302" s="341"/>
      <c r="AB302" s="339" t="s">
        <v>48</v>
      </c>
      <c r="AC302" s="340"/>
      <c r="AD302" s="341"/>
      <c r="AE302" s="339" t="s">
        <v>49</v>
      </c>
      <c r="AF302" s="340"/>
      <c r="AG302" s="341"/>
      <c r="AH302" s="339" t="s">
        <v>50</v>
      </c>
      <c r="AI302" s="340"/>
      <c r="AJ302" s="341"/>
      <c r="AK302" s="339" t="s">
        <v>51</v>
      </c>
      <c r="AL302" s="340"/>
      <c r="AM302" s="341"/>
      <c r="AN302" s="339" t="s">
        <v>52</v>
      </c>
      <c r="AO302" s="340"/>
      <c r="AP302" s="341"/>
    </row>
    <row r="303" spans="1:45" s="27" customFormat="1" ht="48" thickTop="1" thickBot="1" x14ac:dyDescent="0.75">
      <c r="A303" s="327">
        <f>VLOOKUP(3,'Fase Grupos'!$AM$68:$AP$75,2,FALSE)</f>
        <v>0</v>
      </c>
      <c r="B303" s="328"/>
      <c r="C303" s="329"/>
      <c r="D303" s="330">
        <f>VLOOKUP(3,'Fase Grupos'!$AM$68:$AP$75,3,FALSE)</f>
        <v>0</v>
      </c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  <c r="O303" s="331"/>
      <c r="P303" s="331"/>
      <c r="Q303" s="332"/>
      <c r="R303" s="333">
        <f>VLOOKUP(3,'Fase Grupos'!$AM$68:$AP$75,4,FALSE)</f>
        <v>0</v>
      </c>
      <c r="S303" s="334"/>
      <c r="T303" s="334"/>
      <c r="U303" s="334"/>
      <c r="V303" s="334"/>
      <c r="W303" s="334"/>
      <c r="X303" s="335"/>
      <c r="Y303" s="336"/>
      <c r="Z303" s="337"/>
      <c r="AA303" s="338"/>
      <c r="AB303" s="336"/>
      <c r="AC303" s="337"/>
      <c r="AD303" s="338"/>
      <c r="AE303" s="336"/>
      <c r="AF303" s="337"/>
      <c r="AG303" s="338"/>
      <c r="AH303" s="336"/>
      <c r="AI303" s="337"/>
      <c r="AJ303" s="338"/>
      <c r="AK303" s="336"/>
      <c r="AL303" s="337"/>
      <c r="AM303" s="338"/>
      <c r="AN303" s="336"/>
      <c r="AO303" s="337"/>
      <c r="AP303" s="338"/>
      <c r="AS303" s="28"/>
    </row>
    <row r="304" spans="1:45" s="27" customFormat="1" ht="48" customHeight="1" thickTop="1" thickBot="1" x14ac:dyDescent="0.75">
      <c r="A304" s="327">
        <f>VLOOKUP(4,'Fase Grupos'!$AM$68:$AP$75,2,FALSE)</f>
        <v>0</v>
      </c>
      <c r="B304" s="328"/>
      <c r="C304" s="329"/>
      <c r="D304" s="330">
        <f>VLOOKUP(4,'Fase Grupos'!$AM$68:$AP$75,3,FALSE)</f>
        <v>0</v>
      </c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332"/>
      <c r="R304" s="333">
        <f>VLOOKUP(4,'Fase Grupos'!$AM$68:$AP$75,4,FALSE)</f>
        <v>0</v>
      </c>
      <c r="S304" s="334"/>
      <c r="T304" s="334"/>
      <c r="U304" s="334"/>
      <c r="V304" s="334"/>
      <c r="W304" s="334"/>
      <c r="X304" s="335"/>
      <c r="Y304" s="336"/>
      <c r="Z304" s="337"/>
      <c r="AA304" s="338"/>
      <c r="AB304" s="336"/>
      <c r="AC304" s="337"/>
      <c r="AD304" s="338"/>
      <c r="AE304" s="336"/>
      <c r="AF304" s="337"/>
      <c r="AG304" s="338"/>
      <c r="AH304" s="336"/>
      <c r="AI304" s="337"/>
      <c r="AJ304" s="338"/>
      <c r="AK304" s="336"/>
      <c r="AL304" s="337"/>
      <c r="AM304" s="338"/>
      <c r="AN304" s="336"/>
      <c r="AO304" s="337"/>
      <c r="AP304" s="338"/>
    </row>
    <row r="305" spans="1:45" s="15" customFormat="1" ht="24" customHeight="1" thickTop="1" x14ac:dyDescent="0.3">
      <c r="R305" s="16"/>
      <c r="S305" s="16"/>
      <c r="T305" s="16"/>
      <c r="U305" s="16"/>
      <c r="V305" s="16"/>
      <c r="W305" s="16"/>
      <c r="X305" s="16"/>
    </row>
    <row r="306" spans="1:45" s="15" customFormat="1" ht="19.5" thickBot="1" x14ac:dyDescent="0.35">
      <c r="A306" s="325" t="s">
        <v>53</v>
      </c>
      <c r="B306" s="325"/>
      <c r="C306" s="325"/>
      <c r="D306" s="325"/>
      <c r="E306" s="325"/>
      <c r="F306" s="29"/>
      <c r="G306" s="29"/>
      <c r="H306" s="19"/>
      <c r="I306" s="19"/>
      <c r="J306" s="19"/>
      <c r="K306" s="19"/>
      <c r="L306" s="19"/>
      <c r="M306" s="19"/>
      <c r="N306" s="19"/>
      <c r="O306" s="19"/>
      <c r="P306" s="19"/>
      <c r="Q306" s="325" t="s">
        <v>54</v>
      </c>
      <c r="R306" s="325"/>
      <c r="S306" s="325"/>
      <c r="T306" s="325"/>
      <c r="U306" s="325"/>
      <c r="V306" s="325"/>
      <c r="W306" s="325"/>
      <c r="X306" s="20"/>
      <c r="Y306" s="29"/>
      <c r="Z306" s="29"/>
      <c r="AA306" s="29"/>
      <c r="AB306" s="19"/>
      <c r="AC306" s="19"/>
      <c r="AD306" s="19"/>
      <c r="AE306" s="19"/>
      <c r="AF306" s="19"/>
      <c r="AG306" s="19"/>
      <c r="AH306" s="19"/>
      <c r="AI306" s="325" t="s">
        <v>55</v>
      </c>
      <c r="AJ306" s="325"/>
      <c r="AK306" s="325"/>
      <c r="AL306" s="326"/>
      <c r="AM306" s="326"/>
      <c r="AN306" s="21" t="s">
        <v>44</v>
      </c>
      <c r="AO306" s="326"/>
      <c r="AP306" s="326"/>
    </row>
    <row r="307" spans="1:45" s="22" customFormat="1" ht="13.5" thickTop="1" x14ac:dyDescent="0.2">
      <c r="R307" s="23"/>
      <c r="S307" s="23"/>
      <c r="T307" s="23"/>
      <c r="U307" s="23"/>
      <c r="V307" s="23"/>
      <c r="W307" s="23"/>
      <c r="X307" s="23"/>
    </row>
    <row r="308" spans="1:45" s="22" customFormat="1" ht="12.75" x14ac:dyDescent="0.2">
      <c r="R308" s="23"/>
      <c r="S308" s="23"/>
      <c r="T308" s="23"/>
      <c r="U308" s="23"/>
      <c r="V308" s="23"/>
      <c r="W308" s="23"/>
      <c r="X308" s="23"/>
    </row>
    <row r="309" spans="1:45" s="24" customFormat="1" ht="36" x14ac:dyDescent="0.55000000000000004">
      <c r="A309" s="352" t="str">
        <f>SORTEIO!A7</f>
        <v>Campeonato Nacional</v>
      </c>
      <c r="B309" s="352"/>
      <c r="C309" s="352"/>
      <c r="D309" s="352"/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  <c r="P309" s="352"/>
      <c r="Q309" s="352"/>
      <c r="R309" s="352"/>
      <c r="S309" s="352"/>
      <c r="T309" s="352"/>
      <c r="U309" s="352"/>
      <c r="V309" s="352"/>
      <c r="W309" s="352"/>
      <c r="X309" s="352"/>
      <c r="Y309" s="352"/>
      <c r="Z309" s="352"/>
      <c r="AA309" s="352"/>
      <c r="AB309" s="352"/>
      <c r="AC309" s="352"/>
      <c r="AD309" s="352"/>
      <c r="AE309" s="352"/>
      <c r="AF309" s="352"/>
      <c r="AG309" s="352"/>
      <c r="AH309" s="352"/>
      <c r="AI309" s="352"/>
      <c r="AJ309" s="352"/>
      <c r="AK309" s="352"/>
      <c r="AL309" s="352"/>
      <c r="AM309" s="352"/>
      <c r="AN309" s="352"/>
      <c r="AO309" s="352"/>
      <c r="AP309" s="352"/>
    </row>
    <row r="310" spans="1:45" s="25" customFormat="1" ht="26.25" x14ac:dyDescent="0.4">
      <c r="A310" s="353" t="s">
        <v>37</v>
      </c>
      <c r="B310" s="353"/>
      <c r="C310" s="353"/>
      <c r="D310" s="353"/>
      <c r="E310" s="353"/>
      <c r="F310" s="353"/>
      <c r="G310" s="353"/>
      <c r="H310" s="353"/>
      <c r="I310" s="353"/>
      <c r="J310" s="353"/>
      <c r="K310" s="353"/>
      <c r="L310" s="353"/>
      <c r="M310" s="353"/>
      <c r="N310" s="353"/>
      <c r="O310" s="353"/>
      <c r="P310" s="353"/>
      <c r="Q310" s="353"/>
      <c r="R310" s="353"/>
      <c r="S310" s="353"/>
      <c r="T310" s="353"/>
      <c r="U310" s="353"/>
      <c r="V310" s="353"/>
      <c r="W310" s="353"/>
      <c r="X310" s="353"/>
      <c r="Y310" s="353"/>
      <c r="Z310" s="353"/>
      <c r="AA310" s="353"/>
      <c r="AB310" s="353"/>
      <c r="AC310" s="353"/>
      <c r="AD310" s="353"/>
      <c r="AE310" s="353"/>
      <c r="AF310" s="353"/>
      <c r="AG310" s="353"/>
      <c r="AH310" s="353"/>
      <c r="AI310" s="353"/>
      <c r="AJ310" s="353"/>
      <c r="AK310" s="353"/>
      <c r="AL310" s="353"/>
      <c r="AM310" s="353"/>
      <c r="AN310" s="353"/>
      <c r="AO310" s="353"/>
      <c r="AP310" s="353"/>
    </row>
    <row r="311" spans="1:45" s="15" customFormat="1" ht="19.5" thickBot="1" x14ac:dyDescent="0.35">
      <c r="A311" s="354" t="str">
        <f>CONCATENATE(SORTEIO!B12," ",SORTEIO!B14)</f>
        <v>Iniciado Masculino</v>
      </c>
      <c r="B311" s="354"/>
      <c r="C311" s="354"/>
      <c r="D311" s="354"/>
      <c r="E311" s="354"/>
      <c r="F311" s="354"/>
      <c r="G311" s="354"/>
      <c r="H311" s="354"/>
      <c r="I311" s="354"/>
      <c r="J311" s="354"/>
      <c r="K311" s="354"/>
      <c r="L311" s="354"/>
      <c r="M311" s="354"/>
      <c r="N311" s="354"/>
      <c r="R311" s="16"/>
      <c r="S311" s="16"/>
      <c r="T311" s="16"/>
      <c r="U311" s="16"/>
      <c r="V311" s="16"/>
      <c r="W311" s="16"/>
      <c r="X311" s="16"/>
    </row>
    <row r="312" spans="1:45" s="25" customFormat="1" ht="27.75" thickTop="1" thickBot="1" x14ac:dyDescent="0.45">
      <c r="A312" s="355" t="s">
        <v>38</v>
      </c>
      <c r="B312" s="356"/>
      <c r="C312" s="356"/>
      <c r="D312" s="356"/>
      <c r="E312" s="356"/>
      <c r="F312" s="356"/>
      <c r="G312" s="356"/>
      <c r="H312" s="356"/>
      <c r="I312" s="356"/>
      <c r="J312" s="356"/>
      <c r="K312" s="356"/>
      <c r="L312" s="356"/>
      <c r="M312" s="356"/>
      <c r="N312" s="356"/>
      <c r="O312" s="356"/>
      <c r="P312" s="356"/>
      <c r="Q312" s="356"/>
      <c r="R312" s="356"/>
      <c r="S312" s="356"/>
      <c r="T312" s="356"/>
      <c r="U312" s="356"/>
      <c r="V312" s="356"/>
      <c r="W312" s="356"/>
      <c r="X312" s="356"/>
      <c r="Y312" s="356"/>
      <c r="Z312" s="356"/>
      <c r="AA312" s="356"/>
      <c r="AB312" s="356"/>
      <c r="AC312" s="356"/>
      <c r="AD312" s="356"/>
      <c r="AE312" s="356"/>
      <c r="AF312" s="356"/>
      <c r="AG312" s="356"/>
      <c r="AH312" s="356"/>
      <c r="AI312" s="356"/>
      <c r="AJ312" s="356"/>
      <c r="AK312" s="356"/>
      <c r="AL312" s="356"/>
      <c r="AM312" s="356"/>
      <c r="AN312" s="356"/>
      <c r="AO312" s="356"/>
      <c r="AP312" s="357"/>
    </row>
    <row r="313" spans="1:45" s="15" customFormat="1" ht="20.25" thickTop="1" thickBot="1" x14ac:dyDescent="0.35">
      <c r="A313" s="339" t="s">
        <v>39</v>
      </c>
      <c r="B313" s="340"/>
      <c r="C313" s="340"/>
      <c r="D313" s="340"/>
      <c r="E313" s="340"/>
      <c r="F313" s="340"/>
      <c r="G313" s="341"/>
      <c r="H313" s="339" t="s">
        <v>40</v>
      </c>
      <c r="I313" s="340"/>
      <c r="J313" s="340"/>
      <c r="K313" s="340"/>
      <c r="L313" s="340"/>
      <c r="M313" s="340"/>
      <c r="N313" s="341"/>
      <c r="O313" s="339" t="s">
        <v>41</v>
      </c>
      <c r="P313" s="340"/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  <c r="AA313" s="340"/>
      <c r="AB313" s="341"/>
      <c r="AC313" s="339" t="s">
        <v>42</v>
      </c>
      <c r="AD313" s="340"/>
      <c r="AE313" s="340"/>
      <c r="AF313" s="340"/>
      <c r="AG313" s="340"/>
      <c r="AH313" s="340"/>
      <c r="AI313" s="341"/>
      <c r="AJ313" s="339" t="s">
        <v>43</v>
      </c>
      <c r="AK313" s="340"/>
      <c r="AL313" s="340"/>
      <c r="AM313" s="340"/>
      <c r="AN313" s="340"/>
      <c r="AO313" s="340"/>
      <c r="AP313" s="341"/>
    </row>
    <row r="314" spans="1:45" s="26" customFormat="1" ht="63" thickTop="1" thickBot="1" x14ac:dyDescent="0.95">
      <c r="A314" s="345">
        <v>5</v>
      </c>
      <c r="B314" s="346"/>
      <c r="C314" s="346"/>
      <c r="D314" s="346"/>
      <c r="E314" s="346"/>
      <c r="F314" s="346"/>
      <c r="G314" s="347"/>
      <c r="H314" s="345" t="s">
        <v>1</v>
      </c>
      <c r="I314" s="346"/>
      <c r="J314" s="346"/>
      <c r="K314" s="346"/>
      <c r="L314" s="346"/>
      <c r="M314" s="346"/>
      <c r="N314" s="347"/>
      <c r="O314" s="348"/>
      <c r="P314" s="346"/>
      <c r="Q314" s="346"/>
      <c r="R314" s="346"/>
      <c r="S314" s="346"/>
      <c r="T314" s="346"/>
      <c r="U314" s="346"/>
      <c r="V314" s="346"/>
      <c r="W314" s="346"/>
      <c r="X314" s="18" t="s">
        <v>44</v>
      </c>
      <c r="Y314" s="346"/>
      <c r="Z314" s="346"/>
      <c r="AA314" s="346"/>
      <c r="AB314" s="347"/>
      <c r="AC314" s="349"/>
      <c r="AD314" s="350"/>
      <c r="AE314" s="350"/>
      <c r="AF314" s="350"/>
      <c r="AG314" s="350"/>
      <c r="AH314" s="350"/>
      <c r="AI314" s="351"/>
      <c r="AJ314" s="349"/>
      <c r="AK314" s="350"/>
      <c r="AL314" s="350"/>
      <c r="AM314" s="350"/>
      <c r="AN314" s="350"/>
      <c r="AO314" s="350"/>
      <c r="AP314" s="351"/>
      <c r="AS314" s="15"/>
    </row>
    <row r="315" spans="1:45" s="15" customFormat="1" ht="20.25" thickTop="1" thickBot="1" x14ac:dyDescent="0.35">
      <c r="R315" s="16"/>
      <c r="S315" s="16"/>
      <c r="T315" s="16"/>
      <c r="U315" s="16"/>
      <c r="V315" s="16"/>
      <c r="W315" s="16"/>
      <c r="X315" s="16"/>
    </row>
    <row r="316" spans="1:45" s="15" customFormat="1" ht="20.25" thickTop="1" thickBot="1" x14ac:dyDescent="0.35">
      <c r="A316" s="339" t="s">
        <v>45</v>
      </c>
      <c r="B316" s="340"/>
      <c r="C316" s="341"/>
      <c r="D316" s="339" t="s">
        <v>46</v>
      </c>
      <c r="E316" s="340"/>
      <c r="F316" s="340"/>
      <c r="G316" s="340"/>
      <c r="H316" s="340"/>
      <c r="I316" s="340"/>
      <c r="J316" s="340"/>
      <c r="K316" s="340"/>
      <c r="L316" s="340"/>
      <c r="M316" s="340"/>
      <c r="N316" s="340"/>
      <c r="O316" s="340"/>
      <c r="P316" s="340"/>
      <c r="Q316" s="341"/>
      <c r="R316" s="342" t="s">
        <v>76</v>
      </c>
      <c r="S316" s="343"/>
      <c r="T316" s="343"/>
      <c r="U316" s="343"/>
      <c r="V316" s="343"/>
      <c r="W316" s="343"/>
      <c r="X316" s="344"/>
      <c r="Y316" s="339" t="s">
        <v>47</v>
      </c>
      <c r="Z316" s="340"/>
      <c r="AA316" s="341"/>
      <c r="AB316" s="339" t="s">
        <v>48</v>
      </c>
      <c r="AC316" s="340"/>
      <c r="AD316" s="341"/>
      <c r="AE316" s="339" t="s">
        <v>49</v>
      </c>
      <c r="AF316" s="340"/>
      <c r="AG316" s="341"/>
      <c r="AH316" s="339" t="s">
        <v>50</v>
      </c>
      <c r="AI316" s="340"/>
      <c r="AJ316" s="341"/>
      <c r="AK316" s="339" t="s">
        <v>51</v>
      </c>
      <c r="AL316" s="340"/>
      <c r="AM316" s="341"/>
      <c r="AN316" s="339" t="s">
        <v>52</v>
      </c>
      <c r="AO316" s="340"/>
      <c r="AP316" s="341"/>
    </row>
    <row r="317" spans="1:45" s="27" customFormat="1" ht="48" thickTop="1" thickBot="1" x14ac:dyDescent="0.75">
      <c r="A317" s="327">
        <f>VLOOKUP(1,'Fase Grupos'!$AM$68:$AP$75,2,FALSE)</f>
        <v>0</v>
      </c>
      <c r="B317" s="328"/>
      <c r="C317" s="329"/>
      <c r="D317" s="330">
        <f>VLOOKUP(1,'Fase Grupos'!$AM$68:$AP$75,3,FALSE)</f>
        <v>0</v>
      </c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2"/>
      <c r="R317" s="333">
        <f>VLOOKUP(1,'Fase Grupos'!$AM$68:$AP$75,4,FALSE)</f>
        <v>0</v>
      </c>
      <c r="S317" s="334"/>
      <c r="T317" s="334"/>
      <c r="U317" s="334"/>
      <c r="V317" s="334"/>
      <c r="W317" s="334"/>
      <c r="X317" s="335"/>
      <c r="Y317" s="336"/>
      <c r="Z317" s="337"/>
      <c r="AA317" s="338"/>
      <c r="AB317" s="336"/>
      <c r="AC317" s="337"/>
      <c r="AD317" s="338"/>
      <c r="AE317" s="336"/>
      <c r="AF317" s="337"/>
      <c r="AG317" s="338"/>
      <c r="AH317" s="336"/>
      <c r="AI317" s="337"/>
      <c r="AJ317" s="338"/>
      <c r="AK317" s="336"/>
      <c r="AL317" s="337"/>
      <c r="AM317" s="338"/>
      <c r="AN317" s="336"/>
      <c r="AO317" s="337"/>
      <c r="AP317" s="338"/>
      <c r="AS317" s="28"/>
    </row>
    <row r="318" spans="1:45" s="27" customFormat="1" ht="48" customHeight="1" thickTop="1" thickBot="1" x14ac:dyDescent="0.75">
      <c r="A318" s="327">
        <f>VLOOKUP(4,'Fase Grupos'!$AM$68:$AP$75,2,FALSE)</f>
        <v>0</v>
      </c>
      <c r="B318" s="328"/>
      <c r="C318" s="329"/>
      <c r="D318" s="330">
        <f>VLOOKUP(4,'Fase Grupos'!$AM$68:$AP$75,3,FALSE)</f>
        <v>0</v>
      </c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2"/>
      <c r="R318" s="333">
        <f>VLOOKUP(4,'Fase Grupos'!$AM$68:$AP$75,4,FALSE)</f>
        <v>0</v>
      </c>
      <c r="S318" s="334"/>
      <c r="T318" s="334"/>
      <c r="U318" s="334"/>
      <c r="V318" s="334"/>
      <c r="W318" s="334"/>
      <c r="X318" s="335"/>
      <c r="Y318" s="336"/>
      <c r="Z318" s="337"/>
      <c r="AA318" s="338"/>
      <c r="AB318" s="336"/>
      <c r="AC318" s="337"/>
      <c r="AD318" s="338"/>
      <c r="AE318" s="336"/>
      <c r="AF318" s="337"/>
      <c r="AG318" s="338"/>
      <c r="AH318" s="336"/>
      <c r="AI318" s="337"/>
      <c r="AJ318" s="338"/>
      <c r="AK318" s="336"/>
      <c r="AL318" s="337"/>
      <c r="AM318" s="338"/>
      <c r="AN318" s="336"/>
      <c r="AO318" s="337"/>
      <c r="AP318" s="338"/>
    </row>
    <row r="319" spans="1:45" s="15" customFormat="1" ht="24" customHeight="1" thickTop="1" x14ac:dyDescent="0.3">
      <c r="R319" s="16"/>
      <c r="S319" s="16"/>
      <c r="T319" s="16"/>
      <c r="U319" s="16"/>
      <c r="V319" s="16"/>
      <c r="W319" s="16"/>
      <c r="X319" s="16"/>
    </row>
    <row r="320" spans="1:45" s="15" customFormat="1" ht="19.5" thickBot="1" x14ac:dyDescent="0.35">
      <c r="A320" s="325" t="s">
        <v>53</v>
      </c>
      <c r="B320" s="325"/>
      <c r="C320" s="325"/>
      <c r="D320" s="325"/>
      <c r="E320" s="325"/>
      <c r="F320" s="29"/>
      <c r="G320" s="29"/>
      <c r="H320" s="19"/>
      <c r="I320" s="19"/>
      <c r="J320" s="19"/>
      <c r="K320" s="19"/>
      <c r="L320" s="19"/>
      <c r="M320" s="19"/>
      <c r="N320" s="19"/>
      <c r="O320" s="19"/>
      <c r="P320" s="19"/>
      <c r="Q320" s="325" t="s">
        <v>54</v>
      </c>
      <c r="R320" s="325"/>
      <c r="S320" s="325"/>
      <c r="T320" s="325"/>
      <c r="U320" s="325"/>
      <c r="V320" s="325"/>
      <c r="W320" s="325"/>
      <c r="X320" s="20"/>
      <c r="Y320" s="29"/>
      <c r="Z320" s="29"/>
      <c r="AA320" s="29"/>
      <c r="AB320" s="19"/>
      <c r="AC320" s="19"/>
      <c r="AD320" s="19"/>
      <c r="AE320" s="19"/>
      <c r="AF320" s="19"/>
      <c r="AG320" s="19"/>
      <c r="AH320" s="19"/>
      <c r="AI320" s="325" t="s">
        <v>55</v>
      </c>
      <c r="AJ320" s="325"/>
      <c r="AK320" s="325"/>
      <c r="AL320" s="326"/>
      <c r="AM320" s="326"/>
      <c r="AN320" s="21" t="s">
        <v>44</v>
      </c>
      <c r="AO320" s="326"/>
      <c r="AP320" s="326"/>
    </row>
    <row r="321" spans="1:45" s="22" customFormat="1" ht="13.5" thickTop="1" x14ac:dyDescent="0.2">
      <c r="R321" s="23"/>
      <c r="S321" s="23"/>
      <c r="T321" s="23"/>
      <c r="U321" s="23"/>
      <c r="V321" s="23"/>
      <c r="W321" s="23"/>
      <c r="X321" s="23"/>
    </row>
    <row r="322" spans="1:45" s="22" customFormat="1" ht="12.75" x14ac:dyDescent="0.2">
      <c r="R322" s="23"/>
      <c r="S322" s="23"/>
      <c r="T322" s="23"/>
      <c r="U322" s="23"/>
      <c r="V322" s="23"/>
      <c r="W322" s="23"/>
      <c r="X322" s="23"/>
    </row>
    <row r="323" spans="1:45" s="24" customFormat="1" ht="36" x14ac:dyDescent="0.55000000000000004">
      <c r="A323" s="352" t="str">
        <f>SORTEIO!A7</f>
        <v>Campeonato Nacional</v>
      </c>
      <c r="B323" s="352"/>
      <c r="C323" s="352"/>
      <c r="D323" s="352"/>
      <c r="E323" s="352"/>
      <c r="F323" s="352"/>
      <c r="G323" s="352"/>
      <c r="H323" s="352"/>
      <c r="I323" s="352"/>
      <c r="J323" s="352"/>
      <c r="K323" s="352"/>
      <c r="L323" s="352"/>
      <c r="M323" s="352"/>
      <c r="N323" s="352"/>
      <c r="O323" s="352"/>
      <c r="P323" s="352"/>
      <c r="Q323" s="352"/>
      <c r="R323" s="352"/>
      <c r="S323" s="352"/>
      <c r="T323" s="352"/>
      <c r="U323" s="352"/>
      <c r="V323" s="352"/>
      <c r="W323" s="352"/>
      <c r="X323" s="352"/>
      <c r="Y323" s="352"/>
      <c r="Z323" s="352"/>
      <c r="AA323" s="352"/>
      <c r="AB323" s="352"/>
      <c r="AC323" s="352"/>
      <c r="AD323" s="352"/>
      <c r="AE323" s="352"/>
      <c r="AF323" s="352"/>
      <c r="AG323" s="352"/>
      <c r="AH323" s="352"/>
      <c r="AI323" s="352"/>
      <c r="AJ323" s="352"/>
      <c r="AK323" s="352"/>
      <c r="AL323" s="352"/>
      <c r="AM323" s="352"/>
      <c r="AN323" s="352"/>
      <c r="AO323" s="352"/>
      <c r="AP323" s="352"/>
    </row>
    <row r="324" spans="1:45" s="25" customFormat="1" ht="26.25" x14ac:dyDescent="0.4">
      <c r="A324" s="353" t="s">
        <v>37</v>
      </c>
      <c r="B324" s="353"/>
      <c r="C324" s="353"/>
      <c r="D324" s="353"/>
      <c r="E324" s="353"/>
      <c r="F324" s="353"/>
      <c r="G324" s="353"/>
      <c r="H324" s="353"/>
      <c r="I324" s="353"/>
      <c r="J324" s="353"/>
      <c r="K324" s="353"/>
      <c r="L324" s="353"/>
      <c r="M324" s="353"/>
      <c r="N324" s="353"/>
      <c r="O324" s="353"/>
      <c r="P324" s="353"/>
      <c r="Q324" s="353"/>
      <c r="R324" s="353"/>
      <c r="S324" s="353"/>
      <c r="T324" s="353"/>
      <c r="U324" s="353"/>
      <c r="V324" s="353"/>
      <c r="W324" s="353"/>
      <c r="X324" s="353"/>
      <c r="Y324" s="353"/>
      <c r="Z324" s="353"/>
      <c r="AA324" s="353"/>
      <c r="AB324" s="353"/>
      <c r="AC324" s="353"/>
      <c r="AD324" s="353"/>
      <c r="AE324" s="353"/>
      <c r="AF324" s="353"/>
      <c r="AG324" s="353"/>
      <c r="AH324" s="353"/>
      <c r="AI324" s="353"/>
      <c r="AJ324" s="353"/>
      <c r="AK324" s="353"/>
      <c r="AL324" s="353"/>
      <c r="AM324" s="353"/>
      <c r="AN324" s="353"/>
      <c r="AO324" s="353"/>
      <c r="AP324" s="353"/>
    </row>
    <row r="325" spans="1:45" s="15" customFormat="1" ht="19.5" thickBot="1" x14ac:dyDescent="0.35">
      <c r="A325" s="354" t="str">
        <f>CONCATENATE(SORTEIO!B12," ",SORTEIO!B14)</f>
        <v>Iniciado Masculino</v>
      </c>
      <c r="B325" s="354"/>
      <c r="C325" s="354"/>
      <c r="D325" s="354"/>
      <c r="E325" s="354"/>
      <c r="F325" s="354"/>
      <c r="G325" s="354"/>
      <c r="H325" s="354"/>
      <c r="I325" s="354"/>
      <c r="J325" s="354"/>
      <c r="K325" s="354"/>
      <c r="L325" s="354"/>
      <c r="M325" s="354"/>
      <c r="N325" s="354"/>
      <c r="R325" s="16"/>
      <c r="S325" s="16"/>
      <c r="T325" s="16"/>
      <c r="U325" s="16"/>
      <c r="V325" s="16"/>
      <c r="W325" s="16"/>
      <c r="X325" s="16"/>
    </row>
    <row r="326" spans="1:45" s="25" customFormat="1" ht="27.75" thickTop="1" thickBot="1" x14ac:dyDescent="0.45">
      <c r="A326" s="355" t="s">
        <v>38</v>
      </c>
      <c r="B326" s="356"/>
      <c r="C326" s="356"/>
      <c r="D326" s="356"/>
      <c r="E326" s="356"/>
      <c r="F326" s="356"/>
      <c r="G326" s="356"/>
      <c r="H326" s="356"/>
      <c r="I326" s="356"/>
      <c r="J326" s="356"/>
      <c r="K326" s="356"/>
      <c r="L326" s="356"/>
      <c r="M326" s="356"/>
      <c r="N326" s="356"/>
      <c r="O326" s="356"/>
      <c r="P326" s="356"/>
      <c r="Q326" s="356"/>
      <c r="R326" s="356"/>
      <c r="S326" s="356"/>
      <c r="T326" s="356"/>
      <c r="U326" s="356"/>
      <c r="V326" s="356"/>
      <c r="W326" s="356"/>
      <c r="X326" s="356"/>
      <c r="Y326" s="356"/>
      <c r="Z326" s="356"/>
      <c r="AA326" s="356"/>
      <c r="AB326" s="356"/>
      <c r="AC326" s="356"/>
      <c r="AD326" s="356"/>
      <c r="AE326" s="356"/>
      <c r="AF326" s="356"/>
      <c r="AG326" s="356"/>
      <c r="AH326" s="356"/>
      <c r="AI326" s="356"/>
      <c r="AJ326" s="356"/>
      <c r="AK326" s="356"/>
      <c r="AL326" s="356"/>
      <c r="AM326" s="356"/>
      <c r="AN326" s="356"/>
      <c r="AO326" s="356"/>
      <c r="AP326" s="357"/>
    </row>
    <row r="327" spans="1:45" s="15" customFormat="1" ht="20.25" thickTop="1" thickBot="1" x14ac:dyDescent="0.35">
      <c r="A327" s="339" t="s">
        <v>39</v>
      </c>
      <c r="B327" s="340"/>
      <c r="C327" s="340"/>
      <c r="D327" s="340"/>
      <c r="E327" s="340"/>
      <c r="F327" s="340"/>
      <c r="G327" s="341"/>
      <c r="H327" s="339" t="s">
        <v>40</v>
      </c>
      <c r="I327" s="340"/>
      <c r="J327" s="340"/>
      <c r="K327" s="340"/>
      <c r="L327" s="340"/>
      <c r="M327" s="340"/>
      <c r="N327" s="341"/>
      <c r="O327" s="339" t="s">
        <v>41</v>
      </c>
      <c r="P327" s="340"/>
      <c r="Q327" s="340"/>
      <c r="R327" s="340"/>
      <c r="S327" s="340"/>
      <c r="T327" s="340"/>
      <c r="U327" s="340"/>
      <c r="V327" s="340"/>
      <c r="W327" s="340"/>
      <c r="X327" s="340"/>
      <c r="Y327" s="340"/>
      <c r="Z327" s="340"/>
      <c r="AA327" s="340"/>
      <c r="AB327" s="341"/>
      <c r="AC327" s="339" t="s">
        <v>42</v>
      </c>
      <c r="AD327" s="340"/>
      <c r="AE327" s="340"/>
      <c r="AF327" s="340"/>
      <c r="AG327" s="340"/>
      <c r="AH327" s="340"/>
      <c r="AI327" s="341"/>
      <c r="AJ327" s="339" t="s">
        <v>43</v>
      </c>
      <c r="AK327" s="340"/>
      <c r="AL327" s="340"/>
      <c r="AM327" s="340"/>
      <c r="AN327" s="340"/>
      <c r="AO327" s="340"/>
      <c r="AP327" s="341"/>
    </row>
    <row r="328" spans="1:45" s="26" customFormat="1" ht="63" thickTop="1" thickBot="1" x14ac:dyDescent="0.95">
      <c r="A328" s="345">
        <v>6</v>
      </c>
      <c r="B328" s="346"/>
      <c r="C328" s="346"/>
      <c r="D328" s="346"/>
      <c r="E328" s="346"/>
      <c r="F328" s="346"/>
      <c r="G328" s="347"/>
      <c r="H328" s="345" t="s">
        <v>1</v>
      </c>
      <c r="I328" s="346"/>
      <c r="J328" s="346"/>
      <c r="K328" s="346"/>
      <c r="L328" s="346"/>
      <c r="M328" s="346"/>
      <c r="N328" s="347"/>
      <c r="O328" s="348"/>
      <c r="P328" s="346"/>
      <c r="Q328" s="346"/>
      <c r="R328" s="346"/>
      <c r="S328" s="346"/>
      <c r="T328" s="346"/>
      <c r="U328" s="346"/>
      <c r="V328" s="346"/>
      <c r="W328" s="346"/>
      <c r="X328" s="18" t="s">
        <v>44</v>
      </c>
      <c r="Y328" s="346"/>
      <c r="Z328" s="346"/>
      <c r="AA328" s="346"/>
      <c r="AB328" s="347"/>
      <c r="AC328" s="349"/>
      <c r="AD328" s="350"/>
      <c r="AE328" s="350"/>
      <c r="AF328" s="350"/>
      <c r="AG328" s="350"/>
      <c r="AH328" s="350"/>
      <c r="AI328" s="351"/>
      <c r="AJ328" s="349"/>
      <c r="AK328" s="350"/>
      <c r="AL328" s="350"/>
      <c r="AM328" s="350"/>
      <c r="AN328" s="350"/>
      <c r="AO328" s="350"/>
      <c r="AP328" s="351"/>
      <c r="AS328" s="15"/>
    </row>
    <row r="329" spans="1:45" s="15" customFormat="1" ht="20.25" thickTop="1" thickBot="1" x14ac:dyDescent="0.35">
      <c r="R329" s="16"/>
      <c r="S329" s="16"/>
      <c r="T329" s="16"/>
      <c r="U329" s="16"/>
      <c r="V329" s="16"/>
      <c r="W329" s="16"/>
      <c r="X329" s="16"/>
    </row>
    <row r="330" spans="1:45" s="15" customFormat="1" ht="20.25" thickTop="1" thickBot="1" x14ac:dyDescent="0.35">
      <c r="A330" s="339" t="s">
        <v>45</v>
      </c>
      <c r="B330" s="340"/>
      <c r="C330" s="341"/>
      <c r="D330" s="339" t="s">
        <v>46</v>
      </c>
      <c r="E330" s="340"/>
      <c r="F330" s="340"/>
      <c r="G330" s="340"/>
      <c r="H330" s="340"/>
      <c r="I330" s="340"/>
      <c r="J330" s="340"/>
      <c r="K330" s="340"/>
      <c r="L330" s="340"/>
      <c r="M330" s="340"/>
      <c r="N330" s="340"/>
      <c r="O330" s="340"/>
      <c r="P330" s="340"/>
      <c r="Q330" s="341"/>
      <c r="R330" s="342" t="s">
        <v>76</v>
      </c>
      <c r="S330" s="343"/>
      <c r="T330" s="343"/>
      <c r="U330" s="343"/>
      <c r="V330" s="343"/>
      <c r="W330" s="343"/>
      <c r="X330" s="344"/>
      <c r="Y330" s="339" t="s">
        <v>47</v>
      </c>
      <c r="Z330" s="340"/>
      <c r="AA330" s="341"/>
      <c r="AB330" s="339" t="s">
        <v>48</v>
      </c>
      <c r="AC330" s="340"/>
      <c r="AD330" s="341"/>
      <c r="AE330" s="339" t="s">
        <v>49</v>
      </c>
      <c r="AF330" s="340"/>
      <c r="AG330" s="341"/>
      <c r="AH330" s="339" t="s">
        <v>50</v>
      </c>
      <c r="AI330" s="340"/>
      <c r="AJ330" s="341"/>
      <c r="AK330" s="339" t="s">
        <v>51</v>
      </c>
      <c r="AL330" s="340"/>
      <c r="AM330" s="341"/>
      <c r="AN330" s="339" t="s">
        <v>52</v>
      </c>
      <c r="AO330" s="340"/>
      <c r="AP330" s="341"/>
    </row>
    <row r="331" spans="1:45" s="27" customFormat="1" ht="48" thickTop="1" thickBot="1" x14ac:dyDescent="0.75">
      <c r="A331" s="327">
        <f>VLOOKUP(2,'Fase Grupos'!$AM$68:$AP$75,2,FALSE)</f>
        <v>0</v>
      </c>
      <c r="B331" s="328"/>
      <c r="C331" s="329"/>
      <c r="D331" s="330">
        <f>VLOOKUP(2,'Fase Grupos'!$AM$68:$AP$75,3,FALSE)</f>
        <v>0</v>
      </c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2"/>
      <c r="R331" s="333">
        <f>VLOOKUP(2,'Fase Grupos'!$AM$68:$AP$75,4,FALSE)</f>
        <v>0</v>
      </c>
      <c r="S331" s="334"/>
      <c r="T331" s="334"/>
      <c r="U331" s="334"/>
      <c r="V331" s="334"/>
      <c r="W331" s="334"/>
      <c r="X331" s="335"/>
      <c r="Y331" s="336"/>
      <c r="Z331" s="337"/>
      <c r="AA331" s="338"/>
      <c r="AB331" s="336"/>
      <c r="AC331" s="337"/>
      <c r="AD331" s="338"/>
      <c r="AE331" s="336"/>
      <c r="AF331" s="337"/>
      <c r="AG331" s="338"/>
      <c r="AH331" s="336"/>
      <c r="AI331" s="337"/>
      <c r="AJ331" s="338"/>
      <c r="AK331" s="336"/>
      <c r="AL331" s="337"/>
      <c r="AM331" s="338"/>
      <c r="AN331" s="336"/>
      <c r="AO331" s="337"/>
      <c r="AP331" s="338"/>
      <c r="AS331" s="28"/>
    </row>
    <row r="332" spans="1:45" s="27" customFormat="1" ht="48" customHeight="1" thickTop="1" thickBot="1" x14ac:dyDescent="0.75">
      <c r="A332" s="327">
        <f>VLOOKUP(3,'Fase Grupos'!$AM$68:$AP$75,2,FALSE)</f>
        <v>0</v>
      </c>
      <c r="B332" s="328"/>
      <c r="C332" s="329"/>
      <c r="D332" s="330">
        <f>VLOOKUP(3,'Fase Grupos'!$AM$68:$AP$75,3,FALSE)</f>
        <v>0</v>
      </c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  <c r="O332" s="331"/>
      <c r="P332" s="331"/>
      <c r="Q332" s="332"/>
      <c r="R332" s="333">
        <f>VLOOKUP(3,'Fase Grupos'!$AM$68:$AP$75,4,FALSE)</f>
        <v>0</v>
      </c>
      <c r="S332" s="334"/>
      <c r="T332" s="334"/>
      <c r="U332" s="334"/>
      <c r="V332" s="334"/>
      <c r="W332" s="334"/>
      <c r="X332" s="335"/>
      <c r="Y332" s="336"/>
      <c r="Z332" s="337"/>
      <c r="AA332" s="338"/>
      <c r="AB332" s="336"/>
      <c r="AC332" s="337"/>
      <c r="AD332" s="338"/>
      <c r="AE332" s="336"/>
      <c r="AF332" s="337"/>
      <c r="AG332" s="338"/>
      <c r="AH332" s="336"/>
      <c r="AI332" s="337"/>
      <c r="AJ332" s="338"/>
      <c r="AK332" s="336"/>
      <c r="AL332" s="337"/>
      <c r="AM332" s="338"/>
      <c r="AN332" s="336"/>
      <c r="AO332" s="337"/>
      <c r="AP332" s="338"/>
    </row>
    <row r="333" spans="1:45" s="15" customFormat="1" ht="24" customHeight="1" thickTop="1" x14ac:dyDescent="0.3">
      <c r="R333" s="16"/>
      <c r="S333" s="16"/>
      <c r="T333" s="16"/>
      <c r="U333" s="16"/>
      <c r="V333" s="16"/>
      <c r="W333" s="16"/>
      <c r="X333" s="16"/>
    </row>
    <row r="334" spans="1:45" s="15" customFormat="1" ht="19.5" thickBot="1" x14ac:dyDescent="0.35">
      <c r="A334" s="325" t="s">
        <v>53</v>
      </c>
      <c r="B334" s="325"/>
      <c r="C334" s="325"/>
      <c r="D334" s="325"/>
      <c r="E334" s="325"/>
      <c r="F334" s="29"/>
      <c r="G334" s="29"/>
      <c r="H334" s="19"/>
      <c r="I334" s="19"/>
      <c r="J334" s="19"/>
      <c r="K334" s="19"/>
      <c r="L334" s="19"/>
      <c r="M334" s="19"/>
      <c r="N334" s="19"/>
      <c r="O334" s="19"/>
      <c r="P334" s="19"/>
      <c r="Q334" s="325" t="s">
        <v>54</v>
      </c>
      <c r="R334" s="325"/>
      <c r="S334" s="325"/>
      <c r="T334" s="325"/>
      <c r="U334" s="325"/>
      <c r="V334" s="325"/>
      <c r="W334" s="325"/>
      <c r="X334" s="20"/>
      <c r="Y334" s="29"/>
      <c r="Z334" s="29"/>
      <c r="AA334" s="29"/>
      <c r="AB334" s="19"/>
      <c r="AC334" s="19"/>
      <c r="AD334" s="19"/>
      <c r="AE334" s="19"/>
      <c r="AF334" s="19"/>
      <c r="AG334" s="19"/>
      <c r="AH334" s="19"/>
      <c r="AI334" s="325" t="s">
        <v>55</v>
      </c>
      <c r="AJ334" s="325"/>
      <c r="AK334" s="325"/>
      <c r="AL334" s="326"/>
      <c r="AM334" s="326"/>
      <c r="AN334" s="21" t="s">
        <v>44</v>
      </c>
      <c r="AO334" s="326"/>
      <c r="AP334" s="326"/>
    </row>
    <row r="335" spans="1:45" s="22" customFormat="1" ht="13.5" thickTop="1" x14ac:dyDescent="0.2">
      <c r="R335" s="23"/>
      <c r="S335" s="23"/>
      <c r="T335" s="23"/>
      <c r="U335" s="23"/>
      <c r="V335" s="23"/>
      <c r="W335" s="23"/>
      <c r="X335" s="23"/>
    </row>
    <row r="336" spans="1:45" s="22" customFormat="1" ht="12.75" x14ac:dyDescent="0.2">
      <c r="R336" s="23"/>
      <c r="S336" s="23"/>
      <c r="T336" s="23"/>
      <c r="U336" s="23"/>
      <c r="V336" s="23"/>
      <c r="W336" s="23"/>
      <c r="X336" s="23"/>
    </row>
  </sheetData>
  <sheetProtection algorithmName="SHA-512" hashValue="enQZ78TA/t/qZa0Mz31w3yqcvnoSGl7e1MxLIxVrMycjc88P6kz+4lkPxogfqydZsRLChR2cuExDdBpqzT/czg==" saltValue="syM8zwogcIMWyhK6tS51bQ==" spinCount="100000" sheet="1" objects="1" scenarios="1"/>
  <mergeCells count="1128"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6:G6"/>
    <mergeCell ref="H6:N6"/>
    <mergeCell ref="O6:W6"/>
    <mergeCell ref="Y6:AB6"/>
    <mergeCell ref="AC6:AI6"/>
    <mergeCell ref="AJ6:AP6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20:G20"/>
    <mergeCell ref="H20:N20"/>
    <mergeCell ref="O20:W20"/>
    <mergeCell ref="Y20:AB20"/>
    <mergeCell ref="AC20:AI20"/>
    <mergeCell ref="AJ20:AP20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34:G34"/>
    <mergeCell ref="H34:N34"/>
    <mergeCell ref="O34:W34"/>
    <mergeCell ref="Y34:AB34"/>
    <mergeCell ref="AC34:AI34"/>
    <mergeCell ref="AJ34:AP34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48:G48"/>
    <mergeCell ref="H48:N48"/>
    <mergeCell ref="O48:W48"/>
    <mergeCell ref="Y48:AB48"/>
    <mergeCell ref="AC48:AI48"/>
    <mergeCell ref="AJ48:AP48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64:C64"/>
    <mergeCell ref="D64:Q64"/>
    <mergeCell ref="R64:X64"/>
    <mergeCell ref="Y64:AA64"/>
    <mergeCell ref="AB64:AD64"/>
    <mergeCell ref="AE64:AG64"/>
    <mergeCell ref="A62:G62"/>
    <mergeCell ref="H62:N62"/>
    <mergeCell ref="O62:W62"/>
    <mergeCell ref="Y62:AB62"/>
    <mergeCell ref="AC62:AI62"/>
    <mergeCell ref="AJ62:AP62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N66:AP66"/>
    <mergeCell ref="A68:E68"/>
    <mergeCell ref="Q68:W68"/>
    <mergeCell ref="AI68:AK68"/>
    <mergeCell ref="AL68:AM68"/>
    <mergeCell ref="AO68:AP68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78:C78"/>
    <mergeCell ref="D78:Q78"/>
    <mergeCell ref="R78:X78"/>
    <mergeCell ref="Y78:AA78"/>
    <mergeCell ref="AB78:AD78"/>
    <mergeCell ref="AE78:AG78"/>
    <mergeCell ref="A76:G76"/>
    <mergeCell ref="H76:N76"/>
    <mergeCell ref="O76:W76"/>
    <mergeCell ref="Y76:AB76"/>
    <mergeCell ref="AC76:AI76"/>
    <mergeCell ref="AJ76:AP76"/>
    <mergeCell ref="A85:AP85"/>
    <mergeCell ref="A86:AP86"/>
    <mergeCell ref="A87:N87"/>
    <mergeCell ref="A88:AP88"/>
    <mergeCell ref="A89:G89"/>
    <mergeCell ref="H89:N89"/>
    <mergeCell ref="O89:AB89"/>
    <mergeCell ref="AC89:AI89"/>
    <mergeCell ref="AJ89:AP89"/>
    <mergeCell ref="AN80:AP80"/>
    <mergeCell ref="A82:E82"/>
    <mergeCell ref="Q82:W82"/>
    <mergeCell ref="AI82:AK82"/>
    <mergeCell ref="AL82:AM82"/>
    <mergeCell ref="AO82:AP82"/>
    <mergeCell ref="AK79:AM79"/>
    <mergeCell ref="AN79:AP79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93:C93"/>
    <mergeCell ref="D93:Q93"/>
    <mergeCell ref="R93:X93"/>
    <mergeCell ref="Y93:AA93"/>
    <mergeCell ref="AB93:AD93"/>
    <mergeCell ref="AE93:AG93"/>
    <mergeCell ref="AH93:AJ93"/>
    <mergeCell ref="AK93:AM93"/>
    <mergeCell ref="AN93:AP93"/>
    <mergeCell ref="A90:G90"/>
    <mergeCell ref="H90:N90"/>
    <mergeCell ref="O90:W90"/>
    <mergeCell ref="Y90:AB90"/>
    <mergeCell ref="AC90:AI90"/>
    <mergeCell ref="AJ90:AP90"/>
    <mergeCell ref="A92:C92"/>
    <mergeCell ref="D92:Q92"/>
    <mergeCell ref="R92:X92"/>
    <mergeCell ref="Y92:AA92"/>
    <mergeCell ref="AB92:AD92"/>
    <mergeCell ref="AE92:AG92"/>
    <mergeCell ref="AH92:AJ92"/>
    <mergeCell ref="AK92:AM92"/>
    <mergeCell ref="AN92:AP92"/>
    <mergeCell ref="A96:E96"/>
    <mergeCell ref="Q96:W96"/>
    <mergeCell ref="AI96:AK96"/>
    <mergeCell ref="AL96:AM96"/>
    <mergeCell ref="AO96:AP96"/>
    <mergeCell ref="A99:AP99"/>
    <mergeCell ref="A100:AP100"/>
    <mergeCell ref="A101:N101"/>
    <mergeCell ref="A102:AP102"/>
    <mergeCell ref="A94:C94"/>
    <mergeCell ref="D94:Q94"/>
    <mergeCell ref="R94:X94"/>
    <mergeCell ref="Y94:AA94"/>
    <mergeCell ref="AB94:AD94"/>
    <mergeCell ref="AE94:AG94"/>
    <mergeCell ref="AH94:AJ94"/>
    <mergeCell ref="AK94:AM94"/>
    <mergeCell ref="AN94:AP94"/>
    <mergeCell ref="A106:C106"/>
    <mergeCell ref="D106:Q106"/>
    <mergeCell ref="R106:X106"/>
    <mergeCell ref="Y106:AA106"/>
    <mergeCell ref="AB106:AD106"/>
    <mergeCell ref="AE106:AG106"/>
    <mergeCell ref="AH106:AJ106"/>
    <mergeCell ref="AK106:AM106"/>
    <mergeCell ref="AN106:AP106"/>
    <mergeCell ref="A103:G103"/>
    <mergeCell ref="H103:N103"/>
    <mergeCell ref="O103:AB103"/>
    <mergeCell ref="AC103:AI103"/>
    <mergeCell ref="AJ103:AP103"/>
    <mergeCell ref="A104:G104"/>
    <mergeCell ref="H104:N104"/>
    <mergeCell ref="O104:W104"/>
    <mergeCell ref="Y104:AB104"/>
    <mergeCell ref="AC104:AI104"/>
    <mergeCell ref="AJ104:AP104"/>
    <mergeCell ref="A108:C108"/>
    <mergeCell ref="D108:Q108"/>
    <mergeCell ref="R108:X108"/>
    <mergeCell ref="Y108:AA108"/>
    <mergeCell ref="AB108:AD108"/>
    <mergeCell ref="AE108:AG108"/>
    <mergeCell ref="AH108:AJ108"/>
    <mergeCell ref="AK108:AM108"/>
    <mergeCell ref="AN108:AP108"/>
    <mergeCell ref="A107:C107"/>
    <mergeCell ref="D107:Q107"/>
    <mergeCell ref="R107:X107"/>
    <mergeCell ref="Y107:AA107"/>
    <mergeCell ref="AB107:AD107"/>
    <mergeCell ref="AE107:AG107"/>
    <mergeCell ref="AH107:AJ107"/>
    <mergeCell ref="AK107:AM107"/>
    <mergeCell ref="AN107:AP107"/>
    <mergeCell ref="A117:G117"/>
    <mergeCell ref="H117:N117"/>
    <mergeCell ref="O117:AB117"/>
    <mergeCell ref="AC117:AI117"/>
    <mergeCell ref="AJ117:AP117"/>
    <mergeCell ref="A118:G118"/>
    <mergeCell ref="H118:N118"/>
    <mergeCell ref="O118:W118"/>
    <mergeCell ref="Y118:AB118"/>
    <mergeCell ref="AC118:AI118"/>
    <mergeCell ref="AJ118:AP118"/>
    <mergeCell ref="A110:E110"/>
    <mergeCell ref="Q110:W110"/>
    <mergeCell ref="AI110:AK110"/>
    <mergeCell ref="AL110:AM110"/>
    <mergeCell ref="AO110:AP110"/>
    <mergeCell ref="A113:AP113"/>
    <mergeCell ref="A114:AP114"/>
    <mergeCell ref="A115:N115"/>
    <mergeCell ref="A116:AP116"/>
    <mergeCell ref="A121:C121"/>
    <mergeCell ref="D121:Q121"/>
    <mergeCell ref="R121:X121"/>
    <mergeCell ref="Y121:AA121"/>
    <mergeCell ref="AB121:AD121"/>
    <mergeCell ref="AE121:AG121"/>
    <mergeCell ref="AH121:AJ121"/>
    <mergeCell ref="AK121:AM121"/>
    <mergeCell ref="AN121:AP121"/>
    <mergeCell ref="A120:C120"/>
    <mergeCell ref="D120:Q120"/>
    <mergeCell ref="R120:X120"/>
    <mergeCell ref="Y120:AA120"/>
    <mergeCell ref="AB120:AD120"/>
    <mergeCell ref="AE120:AG120"/>
    <mergeCell ref="AH120:AJ120"/>
    <mergeCell ref="AK120:AM120"/>
    <mergeCell ref="AN120:AP120"/>
    <mergeCell ref="A124:E124"/>
    <mergeCell ref="Q124:W124"/>
    <mergeCell ref="AI124:AK124"/>
    <mergeCell ref="AL124:AM124"/>
    <mergeCell ref="AO124:AP124"/>
    <mergeCell ref="A127:AP127"/>
    <mergeCell ref="A128:AP128"/>
    <mergeCell ref="A129:N129"/>
    <mergeCell ref="A130:AP130"/>
    <mergeCell ref="A122:C122"/>
    <mergeCell ref="D122:Q122"/>
    <mergeCell ref="R122:X122"/>
    <mergeCell ref="Y122:AA122"/>
    <mergeCell ref="AB122:AD122"/>
    <mergeCell ref="AE122:AG122"/>
    <mergeCell ref="AH122:AJ122"/>
    <mergeCell ref="AK122:AM122"/>
    <mergeCell ref="AN122:AP122"/>
    <mergeCell ref="A134:C134"/>
    <mergeCell ref="D134:Q134"/>
    <mergeCell ref="R134:X134"/>
    <mergeCell ref="Y134:AA134"/>
    <mergeCell ref="AB134:AD134"/>
    <mergeCell ref="AE134:AG134"/>
    <mergeCell ref="AH134:AJ134"/>
    <mergeCell ref="AK134:AM134"/>
    <mergeCell ref="AN134:AP134"/>
    <mergeCell ref="A131:G131"/>
    <mergeCell ref="H131:N131"/>
    <mergeCell ref="O131:AB131"/>
    <mergeCell ref="AC131:AI131"/>
    <mergeCell ref="AJ131:AP131"/>
    <mergeCell ref="A132:G132"/>
    <mergeCell ref="H132:N132"/>
    <mergeCell ref="O132:W132"/>
    <mergeCell ref="Y132:AB132"/>
    <mergeCell ref="AC132:AI132"/>
    <mergeCell ref="AJ132:AP132"/>
    <mergeCell ref="A136:C136"/>
    <mergeCell ref="D136:Q136"/>
    <mergeCell ref="R136:X136"/>
    <mergeCell ref="Y136:AA136"/>
    <mergeCell ref="AB136:AD136"/>
    <mergeCell ref="AE136:AG136"/>
    <mergeCell ref="AH136:AJ136"/>
    <mergeCell ref="AK136:AM136"/>
    <mergeCell ref="AN136:AP136"/>
    <mergeCell ref="A135:C135"/>
    <mergeCell ref="D135:Q135"/>
    <mergeCell ref="R135:X135"/>
    <mergeCell ref="Y135:AA135"/>
    <mergeCell ref="AB135:AD135"/>
    <mergeCell ref="AE135:AG135"/>
    <mergeCell ref="AH135:AJ135"/>
    <mergeCell ref="AK135:AM135"/>
    <mergeCell ref="AN135:AP135"/>
    <mergeCell ref="A145:G145"/>
    <mergeCell ref="H145:N145"/>
    <mergeCell ref="O145:AB145"/>
    <mergeCell ref="AC145:AI145"/>
    <mergeCell ref="AJ145:AP145"/>
    <mergeCell ref="A146:G146"/>
    <mergeCell ref="H146:N146"/>
    <mergeCell ref="O146:W146"/>
    <mergeCell ref="Y146:AB146"/>
    <mergeCell ref="AC146:AI146"/>
    <mergeCell ref="AJ146:AP146"/>
    <mergeCell ref="A138:E138"/>
    <mergeCell ref="Q138:W138"/>
    <mergeCell ref="AI138:AK138"/>
    <mergeCell ref="AL138:AM138"/>
    <mergeCell ref="AO138:AP138"/>
    <mergeCell ref="A141:AP141"/>
    <mergeCell ref="A142:AP142"/>
    <mergeCell ref="A143:N143"/>
    <mergeCell ref="A144:AP144"/>
    <mergeCell ref="A149:C149"/>
    <mergeCell ref="D149:Q149"/>
    <mergeCell ref="R149:X149"/>
    <mergeCell ref="Y149:AA149"/>
    <mergeCell ref="AB149:AD149"/>
    <mergeCell ref="AE149:AG149"/>
    <mergeCell ref="AH149:AJ149"/>
    <mergeCell ref="AK149:AM149"/>
    <mergeCell ref="AN149:AP149"/>
    <mergeCell ref="A148:C148"/>
    <mergeCell ref="D148:Q148"/>
    <mergeCell ref="R148:X148"/>
    <mergeCell ref="Y148:AA148"/>
    <mergeCell ref="AB148:AD148"/>
    <mergeCell ref="AE148:AG148"/>
    <mergeCell ref="AH148:AJ148"/>
    <mergeCell ref="AK148:AM148"/>
    <mergeCell ref="AN148:AP148"/>
    <mergeCell ref="A152:E152"/>
    <mergeCell ref="Q152:W152"/>
    <mergeCell ref="AI152:AK152"/>
    <mergeCell ref="AL152:AM152"/>
    <mergeCell ref="AO152:AP152"/>
    <mergeCell ref="A155:AP155"/>
    <mergeCell ref="A156:AP156"/>
    <mergeCell ref="A157:N157"/>
    <mergeCell ref="A158:AP158"/>
    <mergeCell ref="A150:C150"/>
    <mergeCell ref="D150:Q150"/>
    <mergeCell ref="R150:X150"/>
    <mergeCell ref="Y150:AA150"/>
    <mergeCell ref="AB150:AD150"/>
    <mergeCell ref="AE150:AG150"/>
    <mergeCell ref="AH150:AJ150"/>
    <mergeCell ref="AK150:AM150"/>
    <mergeCell ref="AN150:AP150"/>
    <mergeCell ref="A162:C162"/>
    <mergeCell ref="D162:Q162"/>
    <mergeCell ref="R162:X162"/>
    <mergeCell ref="Y162:AA162"/>
    <mergeCell ref="AB162:AD162"/>
    <mergeCell ref="AE162:AG162"/>
    <mergeCell ref="AH162:AJ162"/>
    <mergeCell ref="AK162:AM162"/>
    <mergeCell ref="AN162:AP162"/>
    <mergeCell ref="A159:G159"/>
    <mergeCell ref="H159:N159"/>
    <mergeCell ref="O159:AB159"/>
    <mergeCell ref="AC159:AI159"/>
    <mergeCell ref="AJ159:AP159"/>
    <mergeCell ref="A160:G160"/>
    <mergeCell ref="H160:N160"/>
    <mergeCell ref="O160:W160"/>
    <mergeCell ref="Y160:AB160"/>
    <mergeCell ref="AC160:AI160"/>
    <mergeCell ref="AJ160:AP160"/>
    <mergeCell ref="A164:C164"/>
    <mergeCell ref="D164:Q164"/>
    <mergeCell ref="R164:X164"/>
    <mergeCell ref="Y164:AA164"/>
    <mergeCell ref="AB164:AD164"/>
    <mergeCell ref="AE164:AG164"/>
    <mergeCell ref="AH164:AJ164"/>
    <mergeCell ref="AK164:AM164"/>
    <mergeCell ref="AN164:AP164"/>
    <mergeCell ref="A163:C163"/>
    <mergeCell ref="D163:Q163"/>
    <mergeCell ref="R163:X163"/>
    <mergeCell ref="Y163:AA163"/>
    <mergeCell ref="AB163:AD163"/>
    <mergeCell ref="AE163:AG163"/>
    <mergeCell ref="AH163:AJ163"/>
    <mergeCell ref="AK163:AM163"/>
    <mergeCell ref="AN163:AP163"/>
    <mergeCell ref="A173:G173"/>
    <mergeCell ref="H173:N173"/>
    <mergeCell ref="O173:AB173"/>
    <mergeCell ref="AC173:AI173"/>
    <mergeCell ref="AJ173:AP173"/>
    <mergeCell ref="A174:G174"/>
    <mergeCell ref="H174:N174"/>
    <mergeCell ref="O174:W174"/>
    <mergeCell ref="Y174:AB174"/>
    <mergeCell ref="AC174:AI174"/>
    <mergeCell ref="AJ174:AP174"/>
    <mergeCell ref="A166:E166"/>
    <mergeCell ref="Q166:W166"/>
    <mergeCell ref="AI166:AK166"/>
    <mergeCell ref="AL166:AM166"/>
    <mergeCell ref="AO166:AP166"/>
    <mergeCell ref="A169:AP169"/>
    <mergeCell ref="A170:AP170"/>
    <mergeCell ref="A171:N171"/>
    <mergeCell ref="A172:AP172"/>
    <mergeCell ref="A177:C177"/>
    <mergeCell ref="D177:Q177"/>
    <mergeCell ref="R177:X177"/>
    <mergeCell ref="Y177:AA177"/>
    <mergeCell ref="AB177:AD177"/>
    <mergeCell ref="AE177:AG177"/>
    <mergeCell ref="AH177:AJ177"/>
    <mergeCell ref="AK177:AM177"/>
    <mergeCell ref="AN177:AP177"/>
    <mergeCell ref="A176:C176"/>
    <mergeCell ref="D176:Q176"/>
    <mergeCell ref="R176:X176"/>
    <mergeCell ref="Y176:AA176"/>
    <mergeCell ref="AB176:AD176"/>
    <mergeCell ref="AE176:AG176"/>
    <mergeCell ref="AH176:AJ176"/>
    <mergeCell ref="AK176:AM176"/>
    <mergeCell ref="AN176:AP176"/>
    <mergeCell ref="A180:E180"/>
    <mergeCell ref="Q180:W180"/>
    <mergeCell ref="AI180:AK180"/>
    <mergeCell ref="AL180:AM180"/>
    <mergeCell ref="AO180:AP180"/>
    <mergeCell ref="A183:AP183"/>
    <mergeCell ref="A184:AP184"/>
    <mergeCell ref="A185:N185"/>
    <mergeCell ref="A186:AP186"/>
    <mergeCell ref="A178:C178"/>
    <mergeCell ref="D178:Q178"/>
    <mergeCell ref="R178:X178"/>
    <mergeCell ref="Y178:AA178"/>
    <mergeCell ref="AB178:AD178"/>
    <mergeCell ref="AE178:AG178"/>
    <mergeCell ref="AH178:AJ178"/>
    <mergeCell ref="AK178:AM178"/>
    <mergeCell ref="AN178:AP178"/>
    <mergeCell ref="A190:C190"/>
    <mergeCell ref="D190:Q190"/>
    <mergeCell ref="R190:X190"/>
    <mergeCell ref="Y190:AA190"/>
    <mergeCell ref="AB190:AD190"/>
    <mergeCell ref="AE190:AG190"/>
    <mergeCell ref="AH190:AJ190"/>
    <mergeCell ref="AK190:AM190"/>
    <mergeCell ref="AN190:AP190"/>
    <mergeCell ref="A187:G187"/>
    <mergeCell ref="H187:N187"/>
    <mergeCell ref="O187:AB187"/>
    <mergeCell ref="AC187:AI187"/>
    <mergeCell ref="AJ187:AP187"/>
    <mergeCell ref="A188:G188"/>
    <mergeCell ref="H188:N188"/>
    <mergeCell ref="O188:W188"/>
    <mergeCell ref="Y188:AB188"/>
    <mergeCell ref="AC188:AI188"/>
    <mergeCell ref="AJ188:AP188"/>
    <mergeCell ref="A192:C192"/>
    <mergeCell ref="D192:Q192"/>
    <mergeCell ref="R192:X192"/>
    <mergeCell ref="Y192:AA192"/>
    <mergeCell ref="AB192:AD192"/>
    <mergeCell ref="AE192:AG192"/>
    <mergeCell ref="AH192:AJ192"/>
    <mergeCell ref="AK192:AM192"/>
    <mergeCell ref="AN192:AP192"/>
    <mergeCell ref="A191:C191"/>
    <mergeCell ref="D191:Q191"/>
    <mergeCell ref="R191:X191"/>
    <mergeCell ref="Y191:AA191"/>
    <mergeCell ref="AB191:AD191"/>
    <mergeCell ref="AE191:AG191"/>
    <mergeCell ref="AH191:AJ191"/>
    <mergeCell ref="AK191:AM191"/>
    <mergeCell ref="AN191:AP191"/>
    <mergeCell ref="A201:G201"/>
    <mergeCell ref="H201:N201"/>
    <mergeCell ref="O201:AB201"/>
    <mergeCell ref="AC201:AI201"/>
    <mergeCell ref="AJ201:AP201"/>
    <mergeCell ref="A202:G202"/>
    <mergeCell ref="H202:N202"/>
    <mergeCell ref="O202:W202"/>
    <mergeCell ref="Y202:AB202"/>
    <mergeCell ref="AC202:AI202"/>
    <mergeCell ref="AJ202:AP202"/>
    <mergeCell ref="A194:E194"/>
    <mergeCell ref="Q194:W194"/>
    <mergeCell ref="AI194:AK194"/>
    <mergeCell ref="AL194:AM194"/>
    <mergeCell ref="AO194:AP194"/>
    <mergeCell ref="A197:AP197"/>
    <mergeCell ref="A198:AP198"/>
    <mergeCell ref="A199:N199"/>
    <mergeCell ref="A200:AP200"/>
    <mergeCell ref="A205:C205"/>
    <mergeCell ref="D205:Q205"/>
    <mergeCell ref="R205:X205"/>
    <mergeCell ref="Y205:AA205"/>
    <mergeCell ref="AB205:AD205"/>
    <mergeCell ref="AE205:AG205"/>
    <mergeCell ref="AH205:AJ205"/>
    <mergeCell ref="AK205:AM205"/>
    <mergeCell ref="AN205:AP205"/>
    <mergeCell ref="A204:C204"/>
    <mergeCell ref="D204:Q204"/>
    <mergeCell ref="R204:X204"/>
    <mergeCell ref="Y204:AA204"/>
    <mergeCell ref="AB204:AD204"/>
    <mergeCell ref="AE204:AG204"/>
    <mergeCell ref="AH204:AJ204"/>
    <mergeCell ref="AK204:AM204"/>
    <mergeCell ref="AN204:AP204"/>
    <mergeCell ref="A208:E208"/>
    <mergeCell ref="Q208:W208"/>
    <mergeCell ref="AI208:AK208"/>
    <mergeCell ref="AL208:AM208"/>
    <mergeCell ref="AO208:AP208"/>
    <mergeCell ref="A211:AP211"/>
    <mergeCell ref="A212:AP212"/>
    <mergeCell ref="A213:N213"/>
    <mergeCell ref="A214:AP214"/>
    <mergeCell ref="A206:C206"/>
    <mergeCell ref="D206:Q206"/>
    <mergeCell ref="R206:X206"/>
    <mergeCell ref="Y206:AA206"/>
    <mergeCell ref="AB206:AD206"/>
    <mergeCell ref="AE206:AG206"/>
    <mergeCell ref="AH206:AJ206"/>
    <mergeCell ref="AK206:AM206"/>
    <mergeCell ref="AN206:AP206"/>
    <mergeCell ref="A218:C218"/>
    <mergeCell ref="D218:Q218"/>
    <mergeCell ref="R218:X218"/>
    <mergeCell ref="Y218:AA218"/>
    <mergeCell ref="AB218:AD218"/>
    <mergeCell ref="AE218:AG218"/>
    <mergeCell ref="AH218:AJ218"/>
    <mergeCell ref="AK218:AM218"/>
    <mergeCell ref="AN218:AP218"/>
    <mergeCell ref="A215:G215"/>
    <mergeCell ref="H215:N215"/>
    <mergeCell ref="O215:AB215"/>
    <mergeCell ref="AC215:AI215"/>
    <mergeCell ref="AJ215:AP215"/>
    <mergeCell ref="A216:G216"/>
    <mergeCell ref="H216:N216"/>
    <mergeCell ref="O216:W216"/>
    <mergeCell ref="Y216:AB216"/>
    <mergeCell ref="AC216:AI216"/>
    <mergeCell ref="AJ216:AP216"/>
    <mergeCell ref="A220:C220"/>
    <mergeCell ref="D220:Q220"/>
    <mergeCell ref="R220:X220"/>
    <mergeCell ref="Y220:AA220"/>
    <mergeCell ref="AB220:AD220"/>
    <mergeCell ref="AE220:AG220"/>
    <mergeCell ref="AH220:AJ220"/>
    <mergeCell ref="AK220:AM220"/>
    <mergeCell ref="AN220:AP220"/>
    <mergeCell ref="A219:C219"/>
    <mergeCell ref="D219:Q219"/>
    <mergeCell ref="R219:X219"/>
    <mergeCell ref="Y219:AA219"/>
    <mergeCell ref="AB219:AD219"/>
    <mergeCell ref="AE219:AG219"/>
    <mergeCell ref="AH219:AJ219"/>
    <mergeCell ref="AK219:AM219"/>
    <mergeCell ref="AN219:AP219"/>
    <mergeCell ref="A229:G229"/>
    <mergeCell ref="H229:N229"/>
    <mergeCell ref="O229:AB229"/>
    <mergeCell ref="AC229:AI229"/>
    <mergeCell ref="AJ229:AP229"/>
    <mergeCell ref="A230:G230"/>
    <mergeCell ref="H230:N230"/>
    <mergeCell ref="O230:W230"/>
    <mergeCell ref="Y230:AB230"/>
    <mergeCell ref="AC230:AI230"/>
    <mergeCell ref="AJ230:AP230"/>
    <mergeCell ref="A222:E222"/>
    <mergeCell ref="Q222:W222"/>
    <mergeCell ref="AI222:AK222"/>
    <mergeCell ref="AL222:AM222"/>
    <mergeCell ref="AO222:AP222"/>
    <mergeCell ref="A225:AP225"/>
    <mergeCell ref="A226:AP226"/>
    <mergeCell ref="A227:N227"/>
    <mergeCell ref="A228:AP228"/>
    <mergeCell ref="A233:C233"/>
    <mergeCell ref="D233:Q233"/>
    <mergeCell ref="R233:X233"/>
    <mergeCell ref="Y233:AA233"/>
    <mergeCell ref="AB233:AD233"/>
    <mergeCell ref="AE233:AG233"/>
    <mergeCell ref="AH233:AJ233"/>
    <mergeCell ref="AK233:AM233"/>
    <mergeCell ref="AN233:AP233"/>
    <mergeCell ref="A232:C232"/>
    <mergeCell ref="D232:Q232"/>
    <mergeCell ref="R232:X232"/>
    <mergeCell ref="Y232:AA232"/>
    <mergeCell ref="AB232:AD232"/>
    <mergeCell ref="AE232:AG232"/>
    <mergeCell ref="AH232:AJ232"/>
    <mergeCell ref="AK232:AM232"/>
    <mergeCell ref="AN232:AP232"/>
    <mergeCell ref="A236:E236"/>
    <mergeCell ref="Q236:W236"/>
    <mergeCell ref="AI236:AK236"/>
    <mergeCell ref="AL236:AM236"/>
    <mergeCell ref="AO236:AP236"/>
    <mergeCell ref="A239:AP239"/>
    <mergeCell ref="A240:AP240"/>
    <mergeCell ref="A241:N241"/>
    <mergeCell ref="A242:AP242"/>
    <mergeCell ref="A234:C234"/>
    <mergeCell ref="D234:Q234"/>
    <mergeCell ref="R234:X234"/>
    <mergeCell ref="Y234:AA234"/>
    <mergeCell ref="AB234:AD234"/>
    <mergeCell ref="AE234:AG234"/>
    <mergeCell ref="AH234:AJ234"/>
    <mergeCell ref="AK234:AM234"/>
    <mergeCell ref="AN234:AP234"/>
    <mergeCell ref="A246:C246"/>
    <mergeCell ref="D246:Q246"/>
    <mergeCell ref="R246:X246"/>
    <mergeCell ref="Y246:AA246"/>
    <mergeCell ref="AB246:AD246"/>
    <mergeCell ref="AE246:AG246"/>
    <mergeCell ref="AH246:AJ246"/>
    <mergeCell ref="AK246:AM246"/>
    <mergeCell ref="AN246:AP246"/>
    <mergeCell ref="A243:G243"/>
    <mergeCell ref="H243:N243"/>
    <mergeCell ref="O243:AB243"/>
    <mergeCell ref="AC243:AI243"/>
    <mergeCell ref="AJ243:AP243"/>
    <mergeCell ref="A244:G244"/>
    <mergeCell ref="H244:N244"/>
    <mergeCell ref="O244:W244"/>
    <mergeCell ref="Y244:AB244"/>
    <mergeCell ref="AC244:AI244"/>
    <mergeCell ref="AJ244:AP244"/>
    <mergeCell ref="A248:C248"/>
    <mergeCell ref="D248:Q248"/>
    <mergeCell ref="R248:X248"/>
    <mergeCell ref="Y248:AA248"/>
    <mergeCell ref="AB248:AD248"/>
    <mergeCell ref="AE248:AG248"/>
    <mergeCell ref="AH248:AJ248"/>
    <mergeCell ref="AK248:AM248"/>
    <mergeCell ref="AN248:AP248"/>
    <mergeCell ref="A247:C247"/>
    <mergeCell ref="D247:Q247"/>
    <mergeCell ref="R247:X247"/>
    <mergeCell ref="Y247:AA247"/>
    <mergeCell ref="AB247:AD247"/>
    <mergeCell ref="AE247:AG247"/>
    <mergeCell ref="AH247:AJ247"/>
    <mergeCell ref="AK247:AM247"/>
    <mergeCell ref="AN247:AP247"/>
    <mergeCell ref="A257:G257"/>
    <mergeCell ref="H257:N257"/>
    <mergeCell ref="O257:AB257"/>
    <mergeCell ref="AC257:AI257"/>
    <mergeCell ref="AJ257:AP257"/>
    <mergeCell ref="A258:G258"/>
    <mergeCell ref="H258:N258"/>
    <mergeCell ref="O258:W258"/>
    <mergeCell ref="Y258:AB258"/>
    <mergeCell ref="AC258:AI258"/>
    <mergeCell ref="AJ258:AP258"/>
    <mergeCell ref="A250:E250"/>
    <mergeCell ref="Q250:W250"/>
    <mergeCell ref="AI250:AK250"/>
    <mergeCell ref="AL250:AM250"/>
    <mergeCell ref="AO250:AP250"/>
    <mergeCell ref="A253:AP253"/>
    <mergeCell ref="A254:AP254"/>
    <mergeCell ref="A255:N255"/>
    <mergeCell ref="A256:AP256"/>
    <mergeCell ref="A261:C261"/>
    <mergeCell ref="D261:Q261"/>
    <mergeCell ref="R261:X261"/>
    <mergeCell ref="Y261:AA261"/>
    <mergeCell ref="AB261:AD261"/>
    <mergeCell ref="AE261:AG261"/>
    <mergeCell ref="AH261:AJ261"/>
    <mergeCell ref="AK261:AM261"/>
    <mergeCell ref="AN261:AP261"/>
    <mergeCell ref="A260:C260"/>
    <mergeCell ref="D260:Q260"/>
    <mergeCell ref="R260:X260"/>
    <mergeCell ref="Y260:AA260"/>
    <mergeCell ref="AB260:AD260"/>
    <mergeCell ref="AE260:AG260"/>
    <mergeCell ref="AH260:AJ260"/>
    <mergeCell ref="AK260:AM260"/>
    <mergeCell ref="AN260:AP260"/>
    <mergeCell ref="A264:E264"/>
    <mergeCell ref="Q264:W264"/>
    <mergeCell ref="AI264:AK264"/>
    <mergeCell ref="AL264:AM264"/>
    <mergeCell ref="AO264:AP264"/>
    <mergeCell ref="A267:AP267"/>
    <mergeCell ref="A268:AP268"/>
    <mergeCell ref="A269:N269"/>
    <mergeCell ref="A270:AP270"/>
    <mergeCell ref="A262:C262"/>
    <mergeCell ref="D262:Q262"/>
    <mergeCell ref="R262:X262"/>
    <mergeCell ref="Y262:AA262"/>
    <mergeCell ref="AB262:AD262"/>
    <mergeCell ref="AE262:AG262"/>
    <mergeCell ref="AH262:AJ262"/>
    <mergeCell ref="AK262:AM262"/>
    <mergeCell ref="AN262:AP262"/>
    <mergeCell ref="A274:C274"/>
    <mergeCell ref="D274:Q274"/>
    <mergeCell ref="R274:X274"/>
    <mergeCell ref="Y274:AA274"/>
    <mergeCell ref="AB274:AD274"/>
    <mergeCell ref="AE274:AG274"/>
    <mergeCell ref="AH274:AJ274"/>
    <mergeCell ref="AK274:AM274"/>
    <mergeCell ref="AN274:AP274"/>
    <mergeCell ref="A271:G271"/>
    <mergeCell ref="H271:N271"/>
    <mergeCell ref="O271:AB271"/>
    <mergeCell ref="AC271:AI271"/>
    <mergeCell ref="AJ271:AP271"/>
    <mergeCell ref="A272:G272"/>
    <mergeCell ref="H272:N272"/>
    <mergeCell ref="O272:W272"/>
    <mergeCell ref="Y272:AB272"/>
    <mergeCell ref="AC272:AI272"/>
    <mergeCell ref="AJ272:AP272"/>
    <mergeCell ref="A276:C276"/>
    <mergeCell ref="D276:Q276"/>
    <mergeCell ref="R276:X276"/>
    <mergeCell ref="Y276:AA276"/>
    <mergeCell ref="AB276:AD276"/>
    <mergeCell ref="AE276:AG276"/>
    <mergeCell ref="AH276:AJ276"/>
    <mergeCell ref="AK276:AM276"/>
    <mergeCell ref="AN276:AP276"/>
    <mergeCell ref="A275:C275"/>
    <mergeCell ref="D275:Q275"/>
    <mergeCell ref="R275:X275"/>
    <mergeCell ref="Y275:AA275"/>
    <mergeCell ref="AB275:AD275"/>
    <mergeCell ref="AE275:AG275"/>
    <mergeCell ref="AH275:AJ275"/>
    <mergeCell ref="AK275:AM275"/>
    <mergeCell ref="AN275:AP275"/>
    <mergeCell ref="A285:G285"/>
    <mergeCell ref="H285:N285"/>
    <mergeCell ref="O285:AB285"/>
    <mergeCell ref="AC285:AI285"/>
    <mergeCell ref="AJ285:AP285"/>
    <mergeCell ref="A286:G286"/>
    <mergeCell ref="H286:N286"/>
    <mergeCell ref="O286:W286"/>
    <mergeCell ref="Y286:AB286"/>
    <mergeCell ref="AC286:AI286"/>
    <mergeCell ref="AJ286:AP286"/>
    <mergeCell ref="A278:E278"/>
    <mergeCell ref="Q278:W278"/>
    <mergeCell ref="AI278:AK278"/>
    <mergeCell ref="AL278:AM278"/>
    <mergeCell ref="AO278:AP278"/>
    <mergeCell ref="A281:AP281"/>
    <mergeCell ref="A282:AP282"/>
    <mergeCell ref="A283:N283"/>
    <mergeCell ref="A284:AP284"/>
    <mergeCell ref="A289:C289"/>
    <mergeCell ref="D289:Q289"/>
    <mergeCell ref="R289:X289"/>
    <mergeCell ref="Y289:AA289"/>
    <mergeCell ref="AB289:AD289"/>
    <mergeCell ref="AE289:AG289"/>
    <mergeCell ref="AH289:AJ289"/>
    <mergeCell ref="AK289:AM289"/>
    <mergeCell ref="AN289:AP289"/>
    <mergeCell ref="A288:C288"/>
    <mergeCell ref="D288:Q288"/>
    <mergeCell ref="R288:X288"/>
    <mergeCell ref="Y288:AA288"/>
    <mergeCell ref="AB288:AD288"/>
    <mergeCell ref="AE288:AG288"/>
    <mergeCell ref="AH288:AJ288"/>
    <mergeCell ref="AK288:AM288"/>
    <mergeCell ref="AN288:AP288"/>
    <mergeCell ref="A292:E292"/>
    <mergeCell ref="Q292:W292"/>
    <mergeCell ref="AI292:AK292"/>
    <mergeCell ref="AL292:AM292"/>
    <mergeCell ref="AO292:AP292"/>
    <mergeCell ref="A295:AP295"/>
    <mergeCell ref="A296:AP296"/>
    <mergeCell ref="A297:N297"/>
    <mergeCell ref="A298:AP298"/>
    <mergeCell ref="A290:C290"/>
    <mergeCell ref="D290:Q290"/>
    <mergeCell ref="R290:X290"/>
    <mergeCell ref="Y290:AA290"/>
    <mergeCell ref="AB290:AD290"/>
    <mergeCell ref="AE290:AG290"/>
    <mergeCell ref="AH290:AJ290"/>
    <mergeCell ref="AK290:AM290"/>
    <mergeCell ref="AN290:AP290"/>
    <mergeCell ref="A302:C302"/>
    <mergeCell ref="D302:Q302"/>
    <mergeCell ref="R302:X302"/>
    <mergeCell ref="Y302:AA302"/>
    <mergeCell ref="AB302:AD302"/>
    <mergeCell ref="AE302:AG302"/>
    <mergeCell ref="AH302:AJ302"/>
    <mergeCell ref="AK302:AM302"/>
    <mergeCell ref="AN302:AP302"/>
    <mergeCell ref="A299:G299"/>
    <mergeCell ref="H299:N299"/>
    <mergeCell ref="O299:AB299"/>
    <mergeCell ref="AC299:AI299"/>
    <mergeCell ref="AJ299:AP299"/>
    <mergeCell ref="A300:G300"/>
    <mergeCell ref="H300:N300"/>
    <mergeCell ref="O300:W300"/>
    <mergeCell ref="Y300:AB300"/>
    <mergeCell ref="AC300:AI300"/>
    <mergeCell ref="AJ300:AP300"/>
    <mergeCell ref="A304:C304"/>
    <mergeCell ref="D304:Q304"/>
    <mergeCell ref="R304:X304"/>
    <mergeCell ref="Y304:AA304"/>
    <mergeCell ref="AB304:AD304"/>
    <mergeCell ref="AE304:AG304"/>
    <mergeCell ref="AH304:AJ304"/>
    <mergeCell ref="AK304:AM304"/>
    <mergeCell ref="AN304:AP304"/>
    <mergeCell ref="A303:C303"/>
    <mergeCell ref="D303:Q303"/>
    <mergeCell ref="R303:X303"/>
    <mergeCell ref="Y303:AA303"/>
    <mergeCell ref="AB303:AD303"/>
    <mergeCell ref="AE303:AG303"/>
    <mergeCell ref="AH303:AJ303"/>
    <mergeCell ref="AK303:AM303"/>
    <mergeCell ref="AN303:AP303"/>
    <mergeCell ref="A313:G313"/>
    <mergeCell ref="H313:N313"/>
    <mergeCell ref="O313:AB313"/>
    <mergeCell ref="AC313:AI313"/>
    <mergeCell ref="AJ313:AP313"/>
    <mergeCell ref="A314:G314"/>
    <mergeCell ref="H314:N314"/>
    <mergeCell ref="O314:W314"/>
    <mergeCell ref="Y314:AB314"/>
    <mergeCell ref="AC314:AI314"/>
    <mergeCell ref="AJ314:AP314"/>
    <mergeCell ref="A306:E306"/>
    <mergeCell ref="Q306:W306"/>
    <mergeCell ref="AI306:AK306"/>
    <mergeCell ref="AL306:AM306"/>
    <mergeCell ref="AO306:AP306"/>
    <mergeCell ref="A309:AP309"/>
    <mergeCell ref="A310:AP310"/>
    <mergeCell ref="A311:N311"/>
    <mergeCell ref="A312:AP312"/>
    <mergeCell ref="A317:C317"/>
    <mergeCell ref="D317:Q317"/>
    <mergeCell ref="R317:X317"/>
    <mergeCell ref="Y317:AA317"/>
    <mergeCell ref="AB317:AD317"/>
    <mergeCell ref="AE317:AG317"/>
    <mergeCell ref="AH317:AJ317"/>
    <mergeCell ref="AK317:AM317"/>
    <mergeCell ref="AN317:AP317"/>
    <mergeCell ref="A316:C316"/>
    <mergeCell ref="D316:Q316"/>
    <mergeCell ref="R316:X316"/>
    <mergeCell ref="Y316:AA316"/>
    <mergeCell ref="AB316:AD316"/>
    <mergeCell ref="AE316:AG316"/>
    <mergeCell ref="AH316:AJ316"/>
    <mergeCell ref="AK316:AM316"/>
    <mergeCell ref="AN316:AP316"/>
    <mergeCell ref="A320:E320"/>
    <mergeCell ref="Q320:W320"/>
    <mergeCell ref="AI320:AK320"/>
    <mergeCell ref="AL320:AM320"/>
    <mergeCell ref="AO320:AP320"/>
    <mergeCell ref="A323:AP323"/>
    <mergeCell ref="A324:AP324"/>
    <mergeCell ref="A325:N325"/>
    <mergeCell ref="A326:AP326"/>
    <mergeCell ref="A318:C318"/>
    <mergeCell ref="D318:Q318"/>
    <mergeCell ref="R318:X318"/>
    <mergeCell ref="Y318:AA318"/>
    <mergeCell ref="AB318:AD318"/>
    <mergeCell ref="AE318:AG318"/>
    <mergeCell ref="AH318:AJ318"/>
    <mergeCell ref="AK318:AM318"/>
    <mergeCell ref="AN318:AP318"/>
    <mergeCell ref="A330:C330"/>
    <mergeCell ref="D330:Q330"/>
    <mergeCell ref="R330:X330"/>
    <mergeCell ref="Y330:AA330"/>
    <mergeCell ref="AB330:AD330"/>
    <mergeCell ref="AE330:AG330"/>
    <mergeCell ref="AH330:AJ330"/>
    <mergeCell ref="AK330:AM330"/>
    <mergeCell ref="AN330:AP330"/>
    <mergeCell ref="A327:G327"/>
    <mergeCell ref="H327:N327"/>
    <mergeCell ref="O327:AB327"/>
    <mergeCell ref="AC327:AI327"/>
    <mergeCell ref="AJ327:AP327"/>
    <mergeCell ref="A328:G328"/>
    <mergeCell ref="H328:N328"/>
    <mergeCell ref="O328:W328"/>
    <mergeCell ref="Y328:AB328"/>
    <mergeCell ref="AC328:AI328"/>
    <mergeCell ref="AJ328:AP328"/>
    <mergeCell ref="A334:E334"/>
    <mergeCell ref="Q334:W334"/>
    <mergeCell ref="AI334:AK334"/>
    <mergeCell ref="AL334:AM334"/>
    <mergeCell ref="AO334:AP334"/>
    <mergeCell ref="A332:C332"/>
    <mergeCell ref="D332:Q332"/>
    <mergeCell ref="R332:X332"/>
    <mergeCell ref="Y332:AA332"/>
    <mergeCell ref="AB332:AD332"/>
    <mergeCell ref="AE332:AG332"/>
    <mergeCell ref="AH332:AJ332"/>
    <mergeCell ref="AK332:AM332"/>
    <mergeCell ref="AN332:AP332"/>
    <mergeCell ref="A331:C331"/>
    <mergeCell ref="D331:Q331"/>
    <mergeCell ref="R331:X331"/>
    <mergeCell ref="Y331:AA331"/>
    <mergeCell ref="AB331:AD331"/>
    <mergeCell ref="AE331:AG331"/>
    <mergeCell ref="AH331:AJ331"/>
    <mergeCell ref="AK331:AM331"/>
    <mergeCell ref="AN331:AP331"/>
  </mergeCells>
  <pageMargins left="0.70866141732283472" right="0.70866141732283472" top="0.59055118110236227" bottom="0.39370078740157483" header="0.31496062992125984" footer="0.31496062992125984"/>
  <pageSetup paperSize="11" scale="9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56"/>
  <sheetViews>
    <sheetView zoomScale="70" zoomScaleNormal="70" workbookViewId="0">
      <selection activeCell="H49" sqref="H49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</v>
      </c>
      <c r="B6" s="346"/>
      <c r="C6" s="346"/>
      <c r="D6" s="346"/>
      <c r="E6" s="346"/>
      <c r="F6" s="346"/>
      <c r="G6" s="347"/>
      <c r="H6" s="358" t="s">
        <v>86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thickTop="1" thickBot="1" x14ac:dyDescent="0.75">
      <c r="A9" s="327"/>
      <c r="B9" s="328"/>
      <c r="C9" s="329"/>
      <c r="D9" s="330" t="e">
        <f>'Mapa 8'!M8</f>
        <v>#N/A</v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e">
        <f>'Mapa 8'!M9</f>
        <v>#N/A</v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e">
        <f>'Mapa 8'!M10</f>
        <v>#N/A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e">
        <f>'Mapa 8'!M11</f>
        <v>#N/A</v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29"/>
      <c r="G12" s="29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29"/>
      <c r="Z12" s="29"/>
      <c r="AA12" s="29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2</v>
      </c>
      <c r="B20" s="346"/>
      <c r="C20" s="346"/>
      <c r="D20" s="346"/>
      <c r="E20" s="346"/>
      <c r="F20" s="346"/>
      <c r="G20" s="347"/>
      <c r="H20" s="358" t="s">
        <v>87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e">
        <f>'Mapa 8'!M13</f>
        <v>#N/A</v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e">
        <f>'Mapa 8'!M14</f>
        <v>#N/A</v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e">
        <f>'Mapa 8'!M15</f>
        <v>#N/A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e">
        <f>'Mapa 8'!M16</f>
        <v>#N/A</v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29"/>
      <c r="G26" s="29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29"/>
      <c r="Z26" s="29"/>
      <c r="AA26" s="29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'Fase Grupos'!$AM$6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3</v>
      </c>
      <c r="B34" s="346"/>
      <c r="C34" s="346"/>
      <c r="D34" s="346"/>
      <c r="E34" s="346"/>
      <c r="F34" s="346"/>
      <c r="G34" s="347"/>
      <c r="H34" s="358" t="s">
        <v>88</v>
      </c>
      <c r="I34" s="359"/>
      <c r="J34" s="359"/>
      <c r="K34" s="359"/>
      <c r="L34" s="359"/>
      <c r="M34" s="359"/>
      <c r="N34" s="360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customHeight="1" thickTop="1" thickBot="1" x14ac:dyDescent="0.75">
      <c r="A37" s="327"/>
      <c r="B37" s="328"/>
      <c r="C37" s="329"/>
      <c r="D37" s="330" t="e">
        <f>'Mapa 8'!M18</f>
        <v>#N/A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 t="e">
        <f>'Mapa 8'!M19</f>
        <v>#N/A</v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/>
      <c r="B38" s="328"/>
      <c r="C38" s="329"/>
      <c r="D38" s="330" t="e">
        <f>'Mapa 8'!M20</f>
        <v>#N/A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 t="e">
        <f>'Mapa 8'!M21</f>
        <v>#N/A</v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29"/>
      <c r="G40" s="29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29"/>
      <c r="Z40" s="29"/>
      <c r="AA40" s="29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'Fase Grupos'!$AM$6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4</v>
      </c>
      <c r="B48" s="346"/>
      <c r="C48" s="346"/>
      <c r="D48" s="346"/>
      <c r="E48" s="346"/>
      <c r="F48" s="346"/>
      <c r="G48" s="347"/>
      <c r="H48" s="358" t="s">
        <v>89</v>
      </c>
      <c r="I48" s="359"/>
      <c r="J48" s="359"/>
      <c r="K48" s="359"/>
      <c r="L48" s="359"/>
      <c r="M48" s="359"/>
      <c r="N48" s="360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customHeight="1" thickTop="1" thickBot="1" x14ac:dyDescent="0.75">
      <c r="A51" s="327"/>
      <c r="B51" s="328"/>
      <c r="C51" s="329"/>
      <c r="D51" s="330" t="e">
        <f>'Mapa 8'!M23</f>
        <v>#N/A</v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 t="e">
        <f>'Mapa 8'!M24</f>
        <v>#N/A</v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/>
      <c r="B52" s="328"/>
      <c r="C52" s="329"/>
      <c r="D52" s="330" t="e">
        <f>'Mapa 8'!M25</f>
        <v>#N/A</v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 t="e">
        <f>'Mapa 8'!M26</f>
        <v>#N/A</v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29"/>
      <c r="G54" s="29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29"/>
      <c r="Z54" s="29"/>
      <c r="AA54" s="29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</sheetData>
  <sheetProtection algorithmName="SHA-512" hashValue="7R8WBm/Yo1jMbJkw3tkFJsv2OIzZNg0VLLKpc9tb8LTcpru1Ah/pnALUkXbLPmiq/qlpTs5HuGBcPeZ/aVXQTw==" saltValue="dlbvkNKr71Q5coBGzmAzoQ==" spinCount="100000" sheet="1" objects="1" scenarios="1"/>
  <mergeCells count="188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56"/>
  <sheetViews>
    <sheetView topLeftCell="A40" zoomScale="70" zoomScaleNormal="70" workbookViewId="0">
      <selection activeCell="D51" sqref="D51:Q51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5</v>
      </c>
      <c r="B6" s="346"/>
      <c r="C6" s="346"/>
      <c r="D6" s="346"/>
      <c r="E6" s="346"/>
      <c r="F6" s="346"/>
      <c r="G6" s="347"/>
      <c r="H6" s="358" t="s">
        <v>79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8'!O9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8'!O10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8'!O14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8'!O15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29"/>
      <c r="G12" s="29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29"/>
      <c r="Z12" s="29"/>
      <c r="AA12" s="29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6</v>
      </c>
      <c r="B20" s="346"/>
      <c r="C20" s="346"/>
      <c r="D20" s="346"/>
      <c r="E20" s="346"/>
      <c r="F20" s="346"/>
      <c r="G20" s="347"/>
      <c r="H20" s="358" t="s">
        <v>80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str">
        <f>'Mapa 8'!O19</f>
        <v/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str">
        <f>'Mapa 8'!O20</f>
        <v/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str">
        <f>'Mapa 8'!O24</f>
        <v/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str">
        <f>'Mapa 8'!O25</f>
        <v/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29"/>
      <c r="G26" s="29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29"/>
      <c r="Z26" s="29"/>
      <c r="AA26" s="29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'Fase Grupos'!$AM$6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7</v>
      </c>
      <c r="B34" s="346"/>
      <c r="C34" s="346"/>
      <c r="D34" s="346"/>
      <c r="E34" s="346"/>
      <c r="F34" s="346"/>
      <c r="G34" s="347"/>
      <c r="H34" s="358" t="s">
        <v>81</v>
      </c>
      <c r="I34" s="359"/>
      <c r="J34" s="359"/>
      <c r="K34" s="359"/>
      <c r="L34" s="359"/>
      <c r="M34" s="359"/>
      <c r="N34" s="360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customHeight="1" thickTop="1" thickBot="1" x14ac:dyDescent="0.75">
      <c r="A37" s="327"/>
      <c r="B37" s="328"/>
      <c r="C37" s="329"/>
      <c r="D37" s="330" t="str">
        <f>'Mapa 8'!I9</f>
        <v/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 t="str">
        <f>'Mapa 8'!I10</f>
        <v/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/>
      <c r="B38" s="328"/>
      <c r="C38" s="329"/>
      <c r="D38" s="330" t="str">
        <f>'Mapa 8'!I14</f>
        <v/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 t="str">
        <f>'Mapa 8'!I15</f>
        <v/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29"/>
      <c r="G40" s="29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29"/>
      <c r="Z40" s="29"/>
      <c r="AA40" s="29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'Fase Grupos'!$AM$6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8</v>
      </c>
      <c r="B48" s="346"/>
      <c r="C48" s="346"/>
      <c r="D48" s="346"/>
      <c r="E48" s="346"/>
      <c r="F48" s="346"/>
      <c r="G48" s="347"/>
      <c r="H48" s="358" t="s">
        <v>82</v>
      </c>
      <c r="I48" s="359"/>
      <c r="J48" s="359"/>
      <c r="K48" s="359"/>
      <c r="L48" s="359"/>
      <c r="M48" s="359"/>
      <c r="N48" s="360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customHeight="1" thickTop="1" thickBot="1" x14ac:dyDescent="0.75">
      <c r="A51" s="327"/>
      <c r="B51" s="328"/>
      <c r="C51" s="329"/>
      <c r="D51" s="330" t="str">
        <f>'Mapa 8'!I19</f>
        <v/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 t="str">
        <f>'Mapa 8'!I20</f>
        <v/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/>
      <c r="B52" s="328"/>
      <c r="C52" s="329"/>
      <c r="D52" s="330" t="str">
        <f>'Mapa 8'!I24</f>
        <v/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 t="str">
        <f>'Mapa 8'!I25</f>
        <v/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29"/>
      <c r="G54" s="29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29"/>
      <c r="Z54" s="29"/>
      <c r="AA54" s="29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</sheetData>
  <sheetProtection algorithmName="SHA-512" hashValue="8LdfRxqoCtwf27CTTuA1VslhDN0wF8o5h9ctphd8QjMh8HCEVSA3LKWqYpiyRr3XR+H/GG7csGGZCbaL/SkViA==" saltValue="66GwpERkZz7fN0sFcWFWTw==" spinCount="100000" sheet="1" objects="1" scenarios="1"/>
  <mergeCells count="188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6"/>
  <sheetViews>
    <sheetView topLeftCell="A33" zoomScale="70" zoomScaleNormal="70" workbookViewId="0">
      <selection activeCell="D38" sqref="D38:Q38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9</v>
      </c>
      <c r="B6" s="346"/>
      <c r="C6" s="346"/>
      <c r="D6" s="346"/>
      <c r="E6" s="346"/>
      <c r="F6" s="346"/>
      <c r="G6" s="347"/>
      <c r="H6" s="358" t="s">
        <v>83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8'!Q11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8'!Q12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8'!Q21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8'!Q22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29"/>
      <c r="G12" s="29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29"/>
      <c r="Z12" s="29"/>
      <c r="AA12" s="29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10</v>
      </c>
      <c r="B20" s="346"/>
      <c r="C20" s="346"/>
      <c r="D20" s="346"/>
      <c r="E20" s="346"/>
      <c r="F20" s="346"/>
      <c r="G20" s="347"/>
      <c r="H20" s="358" t="s">
        <v>84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str">
        <f>'Mapa 8'!G11</f>
        <v/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str">
        <f>'Mapa 8'!G12</f>
        <v/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str">
        <f>'Mapa 8'!G16</f>
        <v/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str">
        <f>'Mapa 8'!G17</f>
        <v/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29"/>
      <c r="G26" s="29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29"/>
      <c r="Z26" s="29"/>
      <c r="AA26" s="29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'Fase Grupos'!$AM$6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11</v>
      </c>
      <c r="B34" s="346"/>
      <c r="C34" s="346"/>
      <c r="D34" s="346"/>
      <c r="E34" s="346"/>
      <c r="F34" s="346"/>
      <c r="G34" s="347"/>
      <c r="H34" s="358" t="s">
        <v>85</v>
      </c>
      <c r="I34" s="359"/>
      <c r="J34" s="359"/>
      <c r="K34" s="359"/>
      <c r="L34" s="359"/>
      <c r="M34" s="359"/>
      <c r="N34" s="360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customHeight="1" thickTop="1" thickBot="1" x14ac:dyDescent="0.75">
      <c r="A37" s="327"/>
      <c r="B37" s="328"/>
      <c r="C37" s="329"/>
      <c r="D37" s="330" t="str">
        <f>'Mapa 8'!G21</f>
        <v/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 t="str">
        <f>'Mapa 8'!G22</f>
        <v/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/>
      <c r="B38" s="328"/>
      <c r="C38" s="329"/>
      <c r="D38" s="330" t="str">
        <f>'Mapa 8'!G26</f>
        <v/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 t="str">
        <f>'Mapa 8'!G27</f>
        <v/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29"/>
      <c r="G40" s="29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29"/>
      <c r="Z40" s="29"/>
      <c r="AA40" s="29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'Fase Grupos'!$AM$6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12</v>
      </c>
      <c r="B48" s="346"/>
      <c r="C48" s="346"/>
      <c r="D48" s="346"/>
      <c r="E48" s="346"/>
      <c r="F48" s="346"/>
      <c r="G48" s="347"/>
      <c r="H48" s="358" t="s">
        <v>63</v>
      </c>
      <c r="I48" s="359"/>
      <c r="J48" s="359"/>
      <c r="K48" s="359"/>
      <c r="L48" s="359"/>
      <c r="M48" s="359"/>
      <c r="N48" s="360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customHeight="1" thickTop="1" thickBot="1" x14ac:dyDescent="0.75">
      <c r="A51" s="327"/>
      <c r="B51" s="328"/>
      <c r="C51" s="329"/>
      <c r="D51" s="330" t="str">
        <f>'Mapa 8'!A12</f>
        <v/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 t="str">
        <f>'Mapa 8'!A13</f>
        <v/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/>
      <c r="B52" s="328"/>
      <c r="C52" s="329"/>
      <c r="D52" s="330" t="str">
        <f>'Mapa 8'!A14</f>
        <v/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 t="str">
        <f>'Mapa 8'!A15</f>
        <v/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29"/>
      <c r="G54" s="29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29"/>
      <c r="Z54" s="29"/>
      <c r="AA54" s="29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</sheetData>
  <sheetProtection algorithmName="SHA-512" hashValue="7sYjS4ej1lAJL4/+e71BgDbnbHuEa7FEMOKcL8wK0ESP3KDaGFIFYPrIOx+DxRcVJa0Q9yTc5PCYubMs1XJ9Rg==" saltValue="Hv92fTkSd1T6VMiW4nhJew==" spinCount="100000" sheet="1" objects="1" scenarios="1"/>
  <mergeCells count="188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4F0D-8E1E-4303-948E-8A61AA66FE5A}">
  <dimension ref="A1:AS28"/>
  <sheetViews>
    <sheetView topLeftCell="A6" zoomScale="70" zoomScaleNormal="70" workbookViewId="0">
      <selection activeCell="H6" sqref="H6:N6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13</v>
      </c>
      <c r="B6" s="346"/>
      <c r="C6" s="346"/>
      <c r="D6" s="346"/>
      <c r="E6" s="346"/>
      <c r="F6" s="346"/>
      <c r="G6" s="347"/>
      <c r="H6" s="358" t="s">
        <v>90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8'!E14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8'!E15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8'!E23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8'!E24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14</v>
      </c>
      <c r="B20" s="346"/>
      <c r="C20" s="346"/>
      <c r="D20" s="346"/>
      <c r="E20" s="346"/>
      <c r="F20" s="346"/>
      <c r="G20" s="347"/>
      <c r="H20" s="358" t="s">
        <v>62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str">
        <f>'Mapa 8'!A6</f>
        <v/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str">
        <f>'Mapa 8'!A7</f>
        <v/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str">
        <f>'Mapa 8'!A8</f>
        <v/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str">
        <f>'Mapa 8'!A9</f>
        <v/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73"/>
      <c r="G26" s="73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73"/>
      <c r="Z26" s="73"/>
      <c r="AA26" s="73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</sheetData>
  <sheetProtection algorithmName="SHA-512" hashValue="SAgg0suSYkwJztwqAoqYnHv+e+olCnzlCb2HkZ7fq5YBbfuA9jNczw23uv5fB1UDATM44UhV5EkFmjJcCIfVyQ==" saltValue="xJ6p4IgNNKGluewObPMe3w==" spinCount="100000" sheet="1" objects="1" scenarios="1"/>
  <mergeCells count="94"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N24:AP24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20:G20"/>
    <mergeCell ref="H20:N20"/>
    <mergeCell ref="O20:W20"/>
    <mergeCell ref="Y20:AB20"/>
    <mergeCell ref="AC20:AI2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1" ma:contentTypeDescription="Criar um novo documento." ma:contentTypeScope="" ma:versionID="9968cfb5fc132c49c2c7294dc33e7d4e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ca29ed9e6c696824b9f48ab60a2c6972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1B2AAF-7D75-4850-ABB4-CFF0D166928A}"/>
</file>

<file path=customXml/itemProps2.xml><?xml version="1.0" encoding="utf-8"?>
<ds:datastoreItem xmlns:ds="http://schemas.openxmlformats.org/officeDocument/2006/customXml" ds:itemID="{72EA9808-316D-4DFE-9528-09ED552B5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6</vt:i4>
      </vt:variant>
    </vt:vector>
  </HeadingPairs>
  <TitlesOfParts>
    <vt:vector size="19" baseType="lpstr">
      <vt:lpstr>SORTEIO</vt:lpstr>
      <vt:lpstr>Fase Grupos</vt:lpstr>
      <vt:lpstr>Mapa 8</vt:lpstr>
      <vt:lpstr>CLASSIFICAÇÃO</vt:lpstr>
      <vt:lpstr>BoletinsGrupos</vt:lpstr>
      <vt:lpstr>BoletinsM1</vt:lpstr>
      <vt:lpstr>BoletinsM2</vt:lpstr>
      <vt:lpstr>BoletinsM3</vt:lpstr>
      <vt:lpstr>BoletinsM4</vt:lpstr>
      <vt:lpstr>BoletinsM5</vt:lpstr>
      <vt:lpstr>B. Final</vt:lpstr>
      <vt:lpstr>B. Finalissima</vt:lpstr>
      <vt:lpstr>Folha3</vt:lpstr>
      <vt:lpstr>'Fase Grupos'!Área_de_Impressão</vt:lpstr>
      <vt:lpstr>'Mapa 8'!Área_de_Impressão</vt:lpstr>
      <vt:lpstr>Escalão</vt:lpstr>
      <vt:lpstr>fase</vt:lpstr>
      <vt:lpstr>sexo</vt:lpstr>
      <vt:lpstr>'Fase Grupos'!Títulos_de_Impressão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Rodrigues</dc:creator>
  <cp:lastModifiedBy>Marco Aguiar</cp:lastModifiedBy>
  <cp:lastPrinted>2022-01-23T21:56:11Z</cp:lastPrinted>
  <dcterms:created xsi:type="dcterms:W3CDTF">2009-05-02T09:07:17Z</dcterms:created>
  <dcterms:modified xsi:type="dcterms:W3CDTF">2022-03-31T10:19:54Z</dcterms:modified>
</cp:coreProperties>
</file>